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276" windowWidth="8100" windowHeight="5952" activeTab="0"/>
  </bookViews>
  <sheets>
    <sheet name="Data Entry" sheetId="1" r:id="rId1"/>
    <sheet name="Graphs" sheetId="2" r:id="rId2"/>
    <sheet name="demo copy" sheetId="3" r:id="rId3"/>
  </sheets>
  <definedNames>
    <definedName name="_xlnm.Print_Area" localSheetId="0">'Data Entry'!$A$103:$J$203</definedName>
  </definedNames>
  <calcPr fullCalcOnLoad="1"/>
</workbook>
</file>

<file path=xl/comments1.xml><?xml version="1.0" encoding="utf-8"?>
<comments xmlns="http://schemas.openxmlformats.org/spreadsheetml/2006/main">
  <authors>
    <author>Kim Iles &amp; Associates</author>
    <author>Kim Iles &amp; Associates Ltd.</author>
    <author>*</author>
    <author>Kim Iles</author>
  </authors>
  <commentList>
    <comment ref="E20" authorId="0">
      <text>
        <r>
          <rPr>
            <sz val="10"/>
            <rFont val="Tahoma"/>
            <family val="2"/>
          </rPr>
          <t xml:space="preserve">   
 </t>
        </r>
        <r>
          <rPr>
            <b/>
            <sz val="10"/>
            <color indexed="10"/>
            <rFont val="Tahoma"/>
            <family val="2"/>
          </rPr>
          <t>Version : August 20, 2003,</t>
        </r>
        <r>
          <rPr>
            <sz val="10"/>
            <rFont val="Tahoma"/>
            <family val="2"/>
          </rPr>
          <t xml:space="preserve">
   This program is provided by</t>
        </r>
        <r>
          <rPr>
            <sz val="10"/>
            <color indexed="10"/>
            <rFont val="Tahoma"/>
            <family val="2"/>
          </rPr>
          <t xml:space="preserve"> Dr. Kim Iles</t>
        </r>
        <r>
          <rPr>
            <sz val="10"/>
            <color indexed="8"/>
            <rFont val="Tahoma"/>
            <family val="2"/>
          </rPr>
          <t>,</t>
        </r>
        <r>
          <rPr>
            <sz val="10"/>
            <rFont val="Tahoma"/>
            <family val="2"/>
          </rPr>
          <t xml:space="preserve"> Biometrician and consultant in Forest Inventory &amp; Statistics. 
   To receive newer versions, look on an internet engine for "Kim Iles, Biometrician" to find my website and send me an 
e-mail.
       </t>
        </r>
        <r>
          <rPr>
            <sz val="10"/>
            <color indexed="10"/>
            <rFont val="Tahoma"/>
            <family val="2"/>
          </rPr>
          <t xml:space="preserve">If you find this spreadsheet of use, you owe me a 
thank-you note, other than that it is free.  </t>
        </r>
        <r>
          <rPr>
            <sz val="10"/>
            <rFont val="Tahoma"/>
            <family val="2"/>
          </rPr>
          <t xml:space="preserve">
I am always interested in your suggestions for improvement.
(</t>
        </r>
        <r>
          <rPr>
            <b/>
            <sz val="10"/>
            <rFont val="Tahoma"/>
            <family val="2"/>
          </rPr>
          <t>I obviously cannot be held responsible for accuracy,</t>
        </r>
        <r>
          <rPr>
            <sz val="10"/>
            <rFont val="Tahoma"/>
            <family val="2"/>
          </rPr>
          <t xml:space="preserve"> since the program can be changed locally.  If in doubt, check with me - but it is as close to accurate as I can make it).
   Kim Iles &amp; Associates Ltd.
   412 Valley Place,
   Nanaimo, BC, CANADA
       V9R 6A6
currently:
        Phone &amp; FAX : (250) 753-8095
        e-mail : kiles@island.net
        Web : www.island.net/~kiles/</t>
        </r>
      </text>
    </comment>
    <comment ref="H9" authorId="0">
      <text>
        <r>
          <rPr>
            <sz val="10"/>
            <rFont val="Tahoma"/>
            <family val="2"/>
          </rPr>
          <t xml:space="preserve">  These gold cells are unprotected so you can record </t>
        </r>
        <r>
          <rPr>
            <sz val="10"/>
            <color indexed="10"/>
            <rFont val="Tahoma"/>
            <family val="2"/>
          </rPr>
          <t>comments</t>
        </r>
        <r>
          <rPr>
            <sz val="10"/>
            <rFont val="Tahoma"/>
            <family val="2"/>
          </rPr>
          <t xml:space="preserve"> or </t>
        </r>
        <r>
          <rPr>
            <sz val="10"/>
            <color indexed="10"/>
            <rFont val="Tahoma"/>
            <family val="2"/>
          </rPr>
          <t>calculations</t>
        </r>
        <r>
          <rPr>
            <sz val="10"/>
            <rFont val="Tahoma"/>
            <family val="2"/>
          </rPr>
          <t xml:space="preserve"> of interest to the data entered.
  These comments will be printed with the data if you print the section that copies these results at the bottom of the spreadsheet (line 115, for instance).
</t>
        </r>
      </text>
    </comment>
    <comment ref="B20" authorId="1">
      <text>
        <r>
          <rPr>
            <sz val="10"/>
            <color indexed="10"/>
            <rFont val="Tahoma"/>
            <family val="2"/>
          </rPr>
          <t>Yellow</t>
        </r>
        <r>
          <rPr>
            <sz val="10"/>
            <rFont val="Tahoma"/>
            <family val="2"/>
          </rPr>
          <t xml:space="preserve"> Items are ones you fill in.
</t>
        </r>
        <r>
          <rPr>
            <sz val="10"/>
            <color indexed="10"/>
            <rFont val="Tahoma"/>
            <family val="2"/>
          </rPr>
          <t>Gold</t>
        </r>
        <r>
          <rPr>
            <sz val="10"/>
            <rFont val="Tahoma"/>
            <family val="2"/>
          </rPr>
          <t xml:space="preserve"> are optional
</t>
        </r>
        <r>
          <rPr>
            <sz val="10"/>
            <color indexed="10"/>
            <rFont val="Tahoma"/>
            <family val="2"/>
          </rPr>
          <t>Grey</t>
        </r>
        <r>
          <rPr>
            <sz val="10"/>
            <rFont val="Tahoma"/>
            <family val="2"/>
          </rPr>
          <t xml:space="preserve"> are computed items
   </t>
        </r>
        <r>
          <rPr>
            <sz val="10"/>
            <color indexed="10"/>
            <rFont val="Tahoma"/>
            <family val="2"/>
          </rPr>
          <t>Dark Blue section</t>
        </r>
        <r>
          <rPr>
            <sz val="10"/>
            <rFont val="Tahoma"/>
            <family val="2"/>
          </rPr>
          <t xml:space="preserve">s are for information.
   Other colors are for organization.
A </t>
        </r>
        <r>
          <rPr>
            <sz val="10"/>
            <color indexed="10"/>
            <rFont val="Tahoma"/>
            <family val="2"/>
          </rPr>
          <t>red triangle in the corner of a cell</t>
        </r>
        <r>
          <rPr>
            <sz val="10"/>
            <rFont val="Tahoma"/>
            <family val="2"/>
          </rPr>
          <t xml:space="preserve"> means that a comment is available about it.  Put the cursor there, and it will pop up.</t>
        </r>
        <r>
          <rPr>
            <b/>
            <sz val="10"/>
            <rFont val="Tahoma"/>
            <family val="0"/>
          </rPr>
          <t xml:space="preserve">
</t>
        </r>
      </text>
    </comment>
    <comment ref="G20" authorId="1">
      <text>
        <r>
          <rPr>
            <sz val="10"/>
            <color indexed="18"/>
            <rFont val="Tahoma"/>
            <family val="2"/>
          </rPr>
          <t xml:space="preserve"> 
 There are no Macro's to print the results - you might want to add some.  The presence of macros disturbes some people, because they are worried about viruses.
   There were no viruses on the discs or e-mail that I distributed.</t>
        </r>
      </text>
    </comment>
    <comment ref="D15" authorId="1">
      <text>
        <r>
          <rPr>
            <sz val="10"/>
            <rFont val="Tahoma"/>
            <family val="2"/>
          </rPr>
          <t xml:space="preserve">    The small numbers in italics are the </t>
        </r>
        <r>
          <rPr>
            <sz val="10"/>
            <color indexed="10"/>
            <rFont val="Tahoma"/>
            <family val="2"/>
          </rPr>
          <t>numbers needed to get exactly the same SE%</t>
        </r>
        <r>
          <rPr>
            <sz val="10"/>
            <rFont val="Tahoma"/>
            <family val="2"/>
          </rPr>
          <t xml:space="preserve"> as the you entered in the section above (D9).
     It uses the same </t>
        </r>
        <r>
          <rPr>
            <sz val="10"/>
            <color indexed="10"/>
            <rFont val="Tahoma"/>
            <family val="2"/>
          </rPr>
          <t>ratio</t>
        </r>
        <r>
          <rPr>
            <sz val="10"/>
            <rFont val="Tahoma"/>
            <family val="2"/>
          </rPr>
          <t xml:space="preserve"> as the numbers you entered in the red cells to the left (C15:16).</t>
        </r>
      </text>
    </comment>
    <comment ref="D7" authorId="1">
      <text>
        <r>
          <rPr>
            <sz val="10"/>
            <rFont val="Tahoma"/>
            <family val="2"/>
          </rPr>
          <t xml:space="preserve">  This is the </t>
        </r>
        <r>
          <rPr>
            <u val="single"/>
            <sz val="10"/>
            <color indexed="10"/>
            <rFont val="Tahoma"/>
            <family val="2"/>
          </rPr>
          <t>ratio</t>
        </r>
        <r>
          <rPr>
            <sz val="10"/>
            <color indexed="10"/>
            <rFont val="Tahoma"/>
            <family val="2"/>
          </rPr>
          <t xml:space="preserve"> of tree counts</t>
        </r>
        <r>
          <rPr>
            <sz val="10"/>
            <rFont val="Tahoma"/>
            <family val="2"/>
          </rPr>
          <t xml:space="preserve"> made at sample points </t>
        </r>
        <r>
          <rPr>
            <sz val="10"/>
            <color indexed="10"/>
            <rFont val="Tahoma"/>
            <family val="2"/>
          </rPr>
          <t>to *BAR measurements (usually trees)</t>
        </r>
        <r>
          <rPr>
            <sz val="10"/>
            <rFont val="Tahoma"/>
            <family val="2"/>
          </rPr>
          <t xml:space="preserve"> taken.</t>
        </r>
      </text>
    </comment>
    <comment ref="D3" authorId="1">
      <text>
        <r>
          <rPr>
            <sz val="10"/>
            <rFont val="Tahoma"/>
            <family val="2"/>
          </rPr>
          <t xml:space="preserve">  Insert </t>
        </r>
        <r>
          <rPr>
            <sz val="10"/>
            <color indexed="10"/>
            <rFont val="Tahoma"/>
            <family val="2"/>
          </rPr>
          <t>cost</t>
        </r>
        <r>
          <rPr>
            <sz val="10"/>
            <rFont val="Tahoma"/>
            <family val="2"/>
          </rPr>
          <t xml:space="preserve"> for making a </t>
        </r>
        <r>
          <rPr>
            <sz val="10"/>
            <color indexed="10"/>
            <rFont val="Tahoma"/>
            <family val="2"/>
          </rPr>
          <t>tree count,</t>
        </r>
        <r>
          <rPr>
            <sz val="10"/>
            <rFont val="Tahoma"/>
            <family val="2"/>
          </rPr>
          <t xml:space="preserve"> in dollars or time.
  You </t>
        </r>
        <r>
          <rPr>
            <i/>
            <sz val="10"/>
            <rFont val="Tahoma"/>
            <family val="2"/>
          </rPr>
          <t>could</t>
        </r>
        <r>
          <rPr>
            <sz val="10"/>
            <rFont val="Tahoma"/>
            <family val="2"/>
          </rPr>
          <t xml:space="preserve"> also include the travel time between plots in this amount, but the cost of traveling the area is probably a </t>
        </r>
        <r>
          <rPr>
            <u val="single"/>
            <sz val="10"/>
            <rFont val="Tahoma"/>
            <family val="2"/>
          </rPr>
          <t>fixed</t>
        </r>
        <r>
          <rPr>
            <sz val="10"/>
            <rFont val="Tahoma"/>
            <family val="2"/>
          </rPr>
          <t xml:space="preserve"> cost, since you have to cover the area with any sampling scheme.  This is probably the cost of stopping just for the purpose of taking a tree count.</t>
        </r>
      </text>
    </comment>
    <comment ref="D5" authorId="1">
      <text>
        <r>
          <rPr>
            <sz val="10"/>
            <rFont val="Arial"/>
            <family val="2"/>
          </rPr>
          <t xml:space="preserve">  Insert </t>
        </r>
        <r>
          <rPr>
            <sz val="10"/>
            <color indexed="10"/>
            <rFont val="Arial"/>
            <family val="2"/>
          </rPr>
          <t>cost</t>
        </r>
        <r>
          <rPr>
            <sz val="10"/>
            <rFont val="Arial"/>
            <family val="2"/>
          </rPr>
          <t xml:space="preserve"> </t>
        </r>
        <r>
          <rPr>
            <sz val="10"/>
            <color indexed="10"/>
            <rFont val="Arial"/>
            <family val="2"/>
          </rPr>
          <t>of measuring a tree,</t>
        </r>
        <r>
          <rPr>
            <sz val="10"/>
            <rFont val="Arial"/>
            <family val="2"/>
          </rPr>
          <t xml:space="preserve"> in </t>
        </r>
        <r>
          <rPr>
            <sz val="10"/>
            <color indexed="10"/>
            <rFont val="Arial"/>
            <family val="2"/>
          </rPr>
          <t>dollars or time.</t>
        </r>
        <r>
          <rPr>
            <sz val="10"/>
            <rFont val="Arial"/>
            <family val="2"/>
          </rPr>
          <t xml:space="preserve">  The computation will then favor "cheaper" measurements.
  </t>
        </r>
        <r>
          <rPr>
            <sz val="8"/>
            <rFont val="Arial"/>
            <family val="2"/>
          </rPr>
          <t xml:space="preserve"> </t>
        </r>
        <r>
          <rPr>
            <sz val="8"/>
            <color indexed="10"/>
            <rFont val="Arial"/>
            <family val="2"/>
          </rPr>
          <t>If</t>
        </r>
        <r>
          <rPr>
            <sz val="8"/>
            <rFont val="Arial"/>
            <family val="2"/>
          </rPr>
          <t xml:space="preserve"> you entered the CV of the </t>
        </r>
        <r>
          <rPr>
            <sz val="8"/>
            <color indexed="10"/>
            <rFont val="Arial"/>
            <family val="2"/>
          </rPr>
          <t>average</t>
        </r>
        <r>
          <rPr>
            <sz val="8"/>
            <rFont val="Arial"/>
            <family val="2"/>
          </rPr>
          <t xml:space="preserve"> VBAR in a cluster (and I would not), this is the average cost of measuring </t>
        </r>
        <r>
          <rPr>
            <sz val="8"/>
            <color indexed="10"/>
            <rFont val="Arial"/>
            <family val="2"/>
          </rPr>
          <t>all</t>
        </r>
        <r>
          <rPr>
            <sz val="8"/>
            <rFont val="Arial"/>
            <family val="2"/>
          </rPr>
          <t xml:space="preserve"> the trees in a cluster.</t>
        </r>
      </text>
    </comment>
    <comment ref="B3" authorId="1">
      <text>
        <r>
          <rPr>
            <sz val="10"/>
            <rFont val="Tahoma"/>
            <family val="2"/>
          </rPr>
          <t xml:space="preserve">  This is the </t>
        </r>
        <r>
          <rPr>
            <sz val="10"/>
            <color indexed="10"/>
            <rFont val="Tahoma"/>
            <family val="2"/>
          </rPr>
          <t>CV of the TREE COUNT</t>
        </r>
        <r>
          <rPr>
            <sz val="10"/>
            <rFont val="Tahoma"/>
            <family val="2"/>
          </rPr>
          <t xml:space="preserve"> </t>
        </r>
        <r>
          <rPr>
            <sz val="10"/>
            <color indexed="10"/>
            <rFont val="Tahoma"/>
            <family val="2"/>
          </rPr>
          <t>from point to point.</t>
        </r>
        <r>
          <rPr>
            <sz val="10"/>
            <rFont val="Tahoma"/>
            <family val="2"/>
          </rPr>
          <t xml:space="preserve"> 
  It can be quickly calculated using a hand calculator from past data (either for total tree count, or for tree count by species).
  In most cases, you would use the total tree count.</t>
        </r>
        <r>
          <rPr>
            <sz val="10"/>
            <rFont val="Tahoma"/>
            <family val="0"/>
          </rPr>
          <t xml:space="preserve">
</t>
        </r>
      </text>
    </comment>
    <comment ref="B5" authorId="1">
      <text>
        <r>
          <rPr>
            <b/>
            <sz val="10"/>
            <color indexed="10"/>
            <rFont val="Tahoma"/>
            <family val="2"/>
          </rPr>
          <t>This is the CV of the *BAR ratio.</t>
        </r>
        <r>
          <rPr>
            <sz val="10"/>
            <rFont val="Tahoma"/>
            <family val="2"/>
          </rPr>
          <t xml:space="preserve">
  In most cases, this ratio will be the </t>
        </r>
        <r>
          <rPr>
            <sz val="10"/>
            <color indexed="10"/>
            <rFont val="Tahoma"/>
            <family val="2"/>
          </rPr>
          <t>tree Volume</t>
        </r>
        <r>
          <rPr>
            <sz val="10"/>
            <rFont val="Tahoma"/>
            <family val="2"/>
          </rPr>
          <t xml:space="preserve"> divided by the </t>
        </r>
        <r>
          <rPr>
            <sz val="10"/>
            <color indexed="10"/>
            <rFont val="Tahoma"/>
            <family val="2"/>
          </rPr>
          <t>Basal Area</t>
        </r>
        <r>
          <rPr>
            <sz val="10"/>
            <rFont val="Tahoma"/>
            <family val="2"/>
          </rPr>
          <t xml:space="preserve"> for trees in your Variable Plot sample.
       [  </t>
        </r>
        <r>
          <rPr>
            <u val="single"/>
            <sz val="10"/>
            <rFont val="Tahoma"/>
            <family val="2"/>
          </rPr>
          <t>roughly,</t>
        </r>
        <r>
          <rPr>
            <sz val="10"/>
            <rFont val="Tahoma"/>
            <family val="2"/>
          </rPr>
          <t xml:space="preserve"> for </t>
        </r>
        <r>
          <rPr>
            <i/>
            <sz val="10"/>
            <rFont val="Tahoma"/>
            <family val="2"/>
          </rPr>
          <t>gross</t>
        </r>
        <r>
          <rPr>
            <sz val="10"/>
            <rFont val="Tahoma"/>
            <family val="2"/>
          </rPr>
          <t xml:space="preserve"> VBAR, use CV of tree height, and 
          for </t>
        </r>
        <r>
          <rPr>
            <i/>
            <sz val="10"/>
            <rFont val="Tahoma"/>
            <family val="2"/>
          </rPr>
          <t>Net</t>
        </r>
        <r>
          <rPr>
            <sz val="10"/>
            <rFont val="Tahoma"/>
            <family val="2"/>
          </rPr>
          <t xml:space="preserve"> VBAR, use CV of {tree height * % sound}   ]
Since </t>
        </r>
        <r>
          <rPr>
            <i/>
            <sz val="10"/>
            <rFont val="Tahoma"/>
            <family val="2"/>
          </rPr>
          <t>many</t>
        </r>
        <r>
          <rPr>
            <sz val="10"/>
            <rFont val="Tahoma"/>
            <family val="2"/>
          </rPr>
          <t xml:space="preserve"> items could be divided by the BA, I use the general term "</t>
        </r>
        <r>
          <rPr>
            <sz val="10"/>
            <color indexed="10"/>
            <rFont val="Tahoma"/>
            <family val="2"/>
          </rPr>
          <t>*</t>
        </r>
        <r>
          <rPr>
            <sz val="10"/>
            <rFont val="Tahoma"/>
            <family val="2"/>
          </rPr>
          <t xml:space="preserve">BAR".
  You might also want to use the </t>
        </r>
        <r>
          <rPr>
            <sz val="10"/>
            <color indexed="10"/>
            <rFont val="Tahoma"/>
            <family val="2"/>
          </rPr>
          <t>Dollar value</t>
        </r>
        <r>
          <rPr>
            <sz val="10"/>
            <rFont val="Tahoma"/>
            <family val="2"/>
          </rPr>
          <t xml:space="preserve"> divided by the BA of the tree (called $BAR).  Entering this, you can compute the most efficient cruise for stand </t>
        </r>
        <r>
          <rPr>
            <sz val="10"/>
            <color indexed="10"/>
            <rFont val="Tahoma"/>
            <family val="2"/>
          </rPr>
          <t>value</t>
        </r>
        <r>
          <rPr>
            <sz val="10"/>
            <rFont val="Tahoma"/>
            <family val="2"/>
          </rPr>
          <t xml:space="preserve">.  This avoids the complexity of trying to work with the grades of logs, by combining them into a single number that reflects tree value (the main issue with grades anyway).
--------------------------------------
   If you choose to measure </t>
        </r>
        <r>
          <rPr>
            <sz val="10"/>
            <color indexed="10"/>
            <rFont val="Tahoma"/>
            <family val="2"/>
          </rPr>
          <t>all</t>
        </r>
        <r>
          <rPr>
            <sz val="10"/>
            <rFont val="Tahoma"/>
            <family val="2"/>
          </rPr>
          <t xml:space="preserve"> the trees at </t>
        </r>
        <r>
          <rPr>
            <sz val="10"/>
            <color indexed="10"/>
            <rFont val="Tahoma"/>
            <family val="2"/>
          </rPr>
          <t>some</t>
        </r>
        <r>
          <rPr>
            <sz val="10"/>
            <rFont val="Tahoma"/>
            <family val="2"/>
          </rPr>
          <t xml:space="preserve"> </t>
        </r>
        <r>
          <rPr>
            <sz val="10"/>
            <color indexed="10"/>
            <rFont val="Tahoma"/>
            <family val="2"/>
          </rPr>
          <t>sample points,</t>
        </r>
        <r>
          <rPr>
            <sz val="10"/>
            <rFont val="Tahoma"/>
            <family val="2"/>
          </rPr>
          <t xml:space="preserve"> you </t>
        </r>
        <r>
          <rPr>
            <u val="single"/>
            <sz val="10"/>
            <rFont val="Tahoma"/>
            <family val="2"/>
          </rPr>
          <t>could</t>
        </r>
        <r>
          <rPr>
            <sz val="10"/>
            <rFont val="Tahoma"/>
            <family val="2"/>
          </rPr>
          <t xml:space="preserve"> enter the CV of the </t>
        </r>
        <r>
          <rPr>
            <u val="single"/>
            <sz val="10"/>
            <rFont val="Tahoma"/>
            <family val="2"/>
          </rPr>
          <t>average</t>
        </r>
        <r>
          <rPr>
            <sz val="10"/>
            <rFont val="Tahoma"/>
            <family val="2"/>
          </rPr>
          <t xml:space="preserve"> *BAR at these points, and thereby calculate the number of fully measured sample points.
 </t>
        </r>
        <r>
          <rPr>
            <sz val="10"/>
            <color indexed="10"/>
            <rFont val="Tahoma"/>
            <family val="2"/>
          </rPr>
          <t xml:space="preserve">  For practical purposes,</t>
        </r>
        <r>
          <rPr>
            <sz val="10"/>
            <rFont val="Tahoma"/>
            <family val="2"/>
          </rPr>
          <t xml:space="preserve"> most people compute the </t>
        </r>
        <r>
          <rPr>
            <i/>
            <sz val="10"/>
            <rFont val="Tahoma"/>
            <family val="2"/>
          </rPr>
          <t xml:space="preserve">number of trees </t>
        </r>
        <r>
          <rPr>
            <sz val="10"/>
            <rFont val="Tahoma"/>
            <family val="2"/>
          </rPr>
          <t>using the</t>
        </r>
        <r>
          <rPr>
            <i/>
            <sz val="10"/>
            <rFont val="Tahoma"/>
            <family val="2"/>
          </rPr>
          <t xml:space="preserve"> individual tree VBAR,</t>
        </r>
        <r>
          <rPr>
            <sz val="10"/>
            <rFont val="Tahoma"/>
            <family val="2"/>
          </rPr>
          <t xml:space="preserve"> </t>
        </r>
        <r>
          <rPr>
            <i/>
            <sz val="10"/>
            <rFont val="Tahoma"/>
            <family val="2"/>
          </rPr>
          <t>then divide that by the average number of trees/point</t>
        </r>
        <r>
          <rPr>
            <sz val="10"/>
            <rFont val="Tahoma"/>
            <family val="2"/>
          </rPr>
          <t xml:space="preserve"> to find the number of points where you measure </t>
        </r>
        <r>
          <rPr>
            <i/>
            <sz val="10"/>
            <rFont val="Tahoma"/>
            <family val="2"/>
          </rPr>
          <t>all</t>
        </r>
        <r>
          <rPr>
            <sz val="10"/>
            <rFont val="Tahoma"/>
            <family val="2"/>
          </rPr>
          <t xml:space="preserve"> the trees.  This is not as efficient as spreading the trees throughout the stand (using a second BAF, for instance) to select the sample trees.  There is usually a way to work the computer program which will allow you to use  "distributed VBARs" gathered in this way.</t>
        </r>
      </text>
    </comment>
    <comment ref="B15" authorId="1">
      <text>
        <r>
          <rPr>
            <sz val="10"/>
            <rFont val="Tahoma"/>
            <family val="2"/>
          </rPr>
          <t xml:space="preserve">  In this cell enter the </t>
        </r>
        <r>
          <rPr>
            <sz val="10"/>
            <color indexed="10"/>
            <rFont val="Tahoma"/>
            <family val="2"/>
          </rPr>
          <t>number of points</t>
        </r>
        <r>
          <rPr>
            <sz val="10"/>
            <rFont val="Tahoma"/>
            <family val="2"/>
          </rPr>
          <t xml:space="preserve"> where you intend to do tree counts.</t>
        </r>
      </text>
    </comment>
    <comment ref="B16" authorId="1">
      <text>
        <r>
          <rPr>
            <sz val="10"/>
            <rFont val="Tahoma"/>
            <family val="2"/>
          </rPr>
          <t xml:space="preserve">  In this cell, enter the </t>
        </r>
        <r>
          <rPr>
            <sz val="10"/>
            <color indexed="10"/>
            <rFont val="Tahoma"/>
            <family val="2"/>
          </rPr>
          <t>number of *BAR measurements</t>
        </r>
        <r>
          <rPr>
            <sz val="10"/>
            <rFont val="Tahoma"/>
            <family val="2"/>
          </rPr>
          <t xml:space="preserve"> you intend to take.
  This is usually the </t>
        </r>
        <r>
          <rPr>
            <sz val="10"/>
            <color indexed="10"/>
            <rFont val="Tahoma"/>
            <family val="2"/>
          </rPr>
          <t>number of trees,</t>
        </r>
        <r>
          <rPr>
            <sz val="10"/>
            <rFont val="Tahoma"/>
            <family val="2"/>
          </rPr>
          <t xml:space="preserve"> and corresponds to the CV your entered for *BAR.
  In some cases, it is the number of entire clusters (all trees at a point) </t>
        </r>
        <r>
          <rPr>
            <u val="single"/>
            <sz val="10"/>
            <rFont val="Tahoma"/>
            <family val="2"/>
          </rPr>
          <t>IF</t>
        </r>
        <r>
          <rPr>
            <sz val="10"/>
            <rFont val="Tahoma"/>
            <family val="2"/>
          </rPr>
          <t xml:space="preserve"> that CV has been entered in the section above.</t>
        </r>
        <r>
          <rPr>
            <sz val="10"/>
            <rFont val="Tahoma"/>
            <family val="0"/>
          </rPr>
          <t xml:space="preserve">
</t>
        </r>
      </text>
    </comment>
    <comment ref="D24" authorId="1">
      <text>
        <r>
          <rPr>
            <sz val="10"/>
            <rFont val="Tahoma"/>
            <family val="2"/>
          </rPr>
          <t xml:space="preserve">   This is the calculated </t>
        </r>
        <r>
          <rPr>
            <sz val="10"/>
            <color indexed="10"/>
            <rFont val="Tahoma"/>
            <family val="2"/>
          </rPr>
          <t>SE% for the basal area</t>
        </r>
        <r>
          <rPr>
            <sz val="10"/>
            <rFont val="Tahoma"/>
            <family val="2"/>
          </rPr>
          <t xml:space="preserve"> (and Tree Count) using </t>
        </r>
        <r>
          <rPr>
            <sz val="10"/>
            <color indexed="8"/>
            <rFont val="Tahoma"/>
            <family val="2"/>
          </rPr>
          <t>the</t>
        </r>
        <r>
          <rPr>
            <sz val="10"/>
            <rFont val="Tahoma"/>
            <family val="2"/>
          </rPr>
          <t xml:space="preserve"> number of sample points required to get the SE% you desired when all trees are measured on all sample points.
  Typically, it is too large in relation to the SE% for the *BAR.</t>
        </r>
      </text>
    </comment>
    <comment ref="D25" authorId="1">
      <text>
        <r>
          <rPr>
            <sz val="10"/>
            <rFont val="Tahoma"/>
            <family val="2"/>
          </rPr>
          <t xml:space="preserve">This is the </t>
        </r>
        <r>
          <rPr>
            <sz val="10"/>
            <color indexed="10"/>
            <rFont val="Tahoma"/>
            <family val="2"/>
          </rPr>
          <t>SE% for the number of measurements (*BARS) used.</t>
        </r>
        <r>
          <rPr>
            <sz val="10"/>
            <rFont val="Tahoma"/>
            <family val="2"/>
          </rPr>
          <t xml:space="preserve"> </t>
        </r>
      </text>
    </comment>
    <comment ref="D26" authorId="1">
      <text>
        <r>
          <rPr>
            <sz val="10"/>
            <rFont val="Tahoma"/>
            <family val="2"/>
          </rPr>
          <t xml:space="preserve">  This is the </t>
        </r>
        <r>
          <rPr>
            <sz val="10"/>
            <color indexed="10"/>
            <rFont val="Tahoma"/>
            <family val="2"/>
          </rPr>
          <t>TOTAL SE%,</t>
        </r>
        <r>
          <rPr>
            <sz val="10"/>
            <rFont val="Tahoma"/>
            <family val="2"/>
          </rPr>
          <t xml:space="preserve"> combining the two different SE%'s for BA and *BAR.
   It is computed using "Bruce's method". </t>
        </r>
      </text>
    </comment>
    <comment ref="F15" authorId="1">
      <text>
        <r>
          <rPr>
            <sz val="10"/>
            <rFont val="Tahoma"/>
            <family val="2"/>
          </rPr>
          <t xml:space="preserve">   This is the calculated </t>
        </r>
        <r>
          <rPr>
            <sz val="10"/>
            <color indexed="10"/>
            <rFont val="Tahoma"/>
            <family val="2"/>
          </rPr>
          <t>SE% for the basal area</t>
        </r>
        <r>
          <rPr>
            <sz val="10"/>
            <rFont val="Tahoma"/>
            <family val="2"/>
          </rPr>
          <t xml:space="preserve"> or tree count (using </t>
        </r>
        <r>
          <rPr>
            <sz val="10"/>
            <color indexed="10"/>
            <rFont val="Tahoma"/>
            <family val="2"/>
          </rPr>
          <t>your</t>
        </r>
        <r>
          <rPr>
            <sz val="10"/>
            <rFont val="Tahoma"/>
            <family val="2"/>
          </rPr>
          <t xml:space="preserve"> number of sample points in cell C15). </t>
        </r>
      </text>
    </comment>
    <comment ref="D17" authorId="1">
      <text>
        <r>
          <rPr>
            <sz val="10"/>
            <rFont val="Tahoma"/>
            <family val="2"/>
          </rPr>
          <t xml:space="preserve">  This indicates the </t>
        </r>
        <r>
          <rPr>
            <u val="single"/>
            <sz val="10"/>
            <color indexed="10"/>
            <rFont val="Tahoma"/>
            <family val="2"/>
          </rPr>
          <t>overall</t>
        </r>
        <r>
          <rPr>
            <sz val="10"/>
            <color indexed="10"/>
            <rFont val="Tahoma"/>
            <family val="2"/>
          </rPr>
          <t xml:space="preserve"> </t>
        </r>
        <r>
          <rPr>
            <u val="single"/>
            <sz val="10"/>
            <color indexed="10"/>
            <rFont val="Tahoma"/>
            <family val="2"/>
          </rPr>
          <t>relative</t>
        </r>
        <r>
          <rPr>
            <sz val="10"/>
            <color indexed="10"/>
            <rFont val="Tahoma"/>
            <family val="2"/>
          </rPr>
          <t xml:space="preserve"> efficiency of your tested alternative.</t>
        </r>
        <r>
          <rPr>
            <sz val="10"/>
            <rFont val="Tahoma"/>
            <family val="2"/>
          </rPr>
          <t xml:space="preserve">
  It is the </t>
        </r>
        <r>
          <rPr>
            <sz val="10"/>
            <color indexed="10"/>
            <rFont val="Tahoma"/>
            <family val="2"/>
          </rPr>
          <t>ratio of the total costs</t>
        </r>
        <r>
          <rPr>
            <sz val="10"/>
            <rFont val="Tahoma"/>
            <family val="2"/>
          </rPr>
          <t xml:space="preserve"> </t>
        </r>
        <r>
          <rPr>
            <b/>
            <sz val="10"/>
            <color indexed="10"/>
            <rFont val="Tahoma"/>
            <family val="2"/>
          </rPr>
          <t>IF</t>
        </r>
        <r>
          <rPr>
            <sz val="10"/>
            <rFont val="Tahoma"/>
            <family val="2"/>
          </rPr>
          <t xml:space="preserve"> you were to use the number of plots in italics to get the same SE% as the optimal solution (using </t>
        </r>
        <r>
          <rPr>
            <u val="single"/>
            <sz val="10"/>
            <rFont val="Tahoma"/>
            <family val="2"/>
          </rPr>
          <t>your</t>
        </r>
        <r>
          <rPr>
            <sz val="10"/>
            <rFont val="Tahoma"/>
            <family val="2"/>
          </rPr>
          <t xml:space="preserve"> less efficient </t>
        </r>
        <r>
          <rPr>
            <u val="single"/>
            <sz val="10"/>
            <rFont val="Tahoma"/>
            <family val="2"/>
          </rPr>
          <t>ratio</t>
        </r>
        <r>
          <rPr>
            <sz val="10"/>
            <rFont val="Tahoma"/>
            <family val="2"/>
          </rPr>
          <t xml:space="preserve"> of counts to measurements)</t>
        </r>
      </text>
    </comment>
    <comment ref="D18" authorId="1">
      <text>
        <r>
          <rPr>
            <sz val="10"/>
            <rFont val="Tahoma"/>
            <family val="2"/>
          </rPr>
          <t xml:space="preserve">  This indicates the </t>
        </r>
        <r>
          <rPr>
            <sz val="10"/>
            <color indexed="10"/>
            <rFont val="Tahoma"/>
            <family val="2"/>
          </rPr>
          <t>field efficiency</t>
        </r>
        <r>
          <rPr>
            <sz val="10"/>
            <rFont val="Tahoma"/>
            <family val="2"/>
          </rPr>
          <t xml:space="preserve"> of your tested alternative.  It </t>
        </r>
        <r>
          <rPr>
            <sz val="10"/>
            <color indexed="10"/>
            <rFont val="Tahoma"/>
            <family val="2"/>
          </rPr>
          <t>pays no attention to the fixed costs.</t>
        </r>
        <r>
          <rPr>
            <sz val="10"/>
            <rFont val="Tahoma"/>
            <family val="2"/>
          </rPr>
          <t xml:space="preserve">
  It is the </t>
        </r>
        <r>
          <rPr>
            <sz val="10"/>
            <color indexed="10"/>
            <rFont val="Tahoma"/>
            <family val="2"/>
          </rPr>
          <t xml:space="preserve">ratio of the total costs </t>
        </r>
        <r>
          <rPr>
            <b/>
            <sz val="10"/>
            <color indexed="10"/>
            <rFont val="Tahoma"/>
            <family val="2"/>
          </rPr>
          <t>IF</t>
        </r>
        <r>
          <rPr>
            <sz val="10"/>
            <rFont val="Tahoma"/>
            <family val="2"/>
          </rPr>
          <t xml:space="preserve"> you were to use the number of plots in italics to get the </t>
        </r>
        <r>
          <rPr>
            <sz val="10"/>
            <color indexed="10"/>
            <rFont val="Tahoma"/>
            <family val="2"/>
          </rPr>
          <t>same SE%</t>
        </r>
        <r>
          <rPr>
            <sz val="10"/>
            <rFont val="Tahoma"/>
            <family val="2"/>
          </rPr>
          <t xml:space="preserve"> as the optimal solution (using </t>
        </r>
        <r>
          <rPr>
            <u val="single"/>
            <sz val="10"/>
            <rFont val="Tahoma"/>
            <family val="2"/>
          </rPr>
          <t>your</t>
        </r>
        <r>
          <rPr>
            <sz val="10"/>
            <rFont val="Tahoma"/>
            <family val="2"/>
          </rPr>
          <t xml:space="preserve"> less efficient </t>
        </r>
        <r>
          <rPr>
            <u val="single"/>
            <sz val="10"/>
            <rFont val="Tahoma"/>
            <family val="2"/>
          </rPr>
          <t>ratio</t>
        </r>
        <r>
          <rPr>
            <sz val="10"/>
            <rFont val="Tahoma"/>
            <family val="2"/>
          </rPr>
          <t xml:space="preserve"> of counts to measurements)</t>
        </r>
      </text>
    </comment>
    <comment ref="F17" authorId="1">
      <text>
        <r>
          <rPr>
            <sz val="10"/>
            <rFont val="Tahoma"/>
            <family val="2"/>
          </rPr>
          <t xml:space="preserve">  This is the </t>
        </r>
        <r>
          <rPr>
            <u val="single"/>
            <sz val="10"/>
            <color indexed="10"/>
            <rFont val="Tahoma"/>
            <family val="2"/>
          </rPr>
          <t>Total</t>
        </r>
        <r>
          <rPr>
            <sz val="10"/>
            <color indexed="10"/>
            <rFont val="Tahoma"/>
            <family val="2"/>
          </rPr>
          <t xml:space="preserve"> SE%, using the number of plots and measurements you are testing</t>
        </r>
        <r>
          <rPr>
            <sz val="10"/>
            <rFont val="Tahoma"/>
            <family val="2"/>
          </rPr>
          <t xml:space="preserve"> in this section.
  It may </t>
        </r>
        <r>
          <rPr>
            <i/>
            <sz val="10"/>
            <rFont val="Tahoma"/>
            <family val="2"/>
          </rPr>
          <t>intentionally</t>
        </r>
        <r>
          <rPr>
            <sz val="10"/>
            <rFont val="Tahoma"/>
            <family val="2"/>
          </rPr>
          <t xml:space="preserve"> not be exactly the same as the SE% you entered in the optimizing section above </t>
        </r>
        <r>
          <rPr>
            <sz val="10"/>
            <color indexed="10"/>
            <rFont val="Tahoma"/>
            <family val="2"/>
          </rPr>
          <t>{D9}</t>
        </r>
        <r>
          <rPr>
            <sz val="10"/>
            <rFont val="Tahoma"/>
            <family val="2"/>
          </rPr>
          <t xml:space="preserve">.  
  Having a few extra plots is usually a wise move, and this section will tell you what different alternatives will "cost", compared to ana "optimal" ratio and number -- </t>
        </r>
        <r>
          <rPr>
            <i/>
            <sz val="10"/>
            <rFont val="Tahoma"/>
            <family val="2"/>
          </rPr>
          <t>bear in mind,</t>
        </r>
        <r>
          <rPr>
            <sz val="10"/>
            <rFont val="Tahoma"/>
            <family val="2"/>
          </rPr>
          <t xml:space="preserve"> of course, that the CV's you entered in this program are only </t>
        </r>
        <r>
          <rPr>
            <u val="single"/>
            <sz val="10"/>
            <rFont val="Tahoma"/>
            <family val="2"/>
          </rPr>
          <t>estimates,</t>
        </r>
        <r>
          <rPr>
            <sz val="10"/>
            <rFont val="Tahoma"/>
            <family val="2"/>
          </rPr>
          <t xml:space="preserve"> and therefore any sample size calculations are </t>
        </r>
        <r>
          <rPr>
            <i/>
            <sz val="10"/>
            <rFont val="Tahoma"/>
            <family val="2"/>
          </rPr>
          <t>also</t>
        </r>
        <r>
          <rPr>
            <sz val="10"/>
            <rFont val="Tahoma"/>
            <family val="2"/>
          </rPr>
          <t xml:space="preserve"> only estimates.</t>
        </r>
      </text>
    </comment>
    <comment ref="G19" authorId="1">
      <text>
        <r>
          <rPr>
            <sz val="10"/>
            <rFont val="Tahoma"/>
            <family val="2"/>
          </rPr>
          <t xml:space="preserve">  This is the </t>
        </r>
        <r>
          <rPr>
            <sz val="10"/>
            <color indexed="10"/>
            <rFont val="Tahoma"/>
            <family val="2"/>
          </rPr>
          <t>efficiency of the cruise you are testing vs. the optimal solution.</t>
        </r>
        <r>
          <rPr>
            <sz val="10"/>
            <rFont val="Tahoma"/>
            <family val="2"/>
          </rPr>
          <t xml:space="preserve">  
  Bear in mind that it </t>
        </r>
        <r>
          <rPr>
            <sz val="10"/>
            <color indexed="10"/>
            <rFont val="Tahoma"/>
            <family val="2"/>
          </rPr>
          <t>may be for a different SE%,</t>
        </r>
        <r>
          <rPr>
            <sz val="10"/>
            <rFont val="Tahoma"/>
            <family val="2"/>
          </rPr>
          <t xml:space="preserve"> and therefore may look more or less efficient than when you get exactly the same result.  
  That is why the </t>
        </r>
        <r>
          <rPr>
            <sz val="10"/>
            <color indexed="10"/>
            <rFont val="Tahoma"/>
            <family val="2"/>
          </rPr>
          <t>other efficiencies</t>
        </r>
        <r>
          <rPr>
            <sz val="10"/>
            <rFont val="Tahoma"/>
            <family val="2"/>
          </rPr>
          <t xml:space="preserve"> (cells D17,18) are included, because they include </t>
        </r>
        <r>
          <rPr>
            <u val="single"/>
            <sz val="10"/>
            <rFont val="Tahoma"/>
            <family val="2"/>
          </rPr>
          <t>only</t>
        </r>
        <r>
          <rPr>
            <sz val="10"/>
            <rFont val="Tahoma"/>
            <family val="2"/>
          </rPr>
          <t xml:space="preserve"> the difference </t>
        </r>
        <r>
          <rPr>
            <u val="single"/>
            <sz val="10"/>
            <rFont val="Tahoma"/>
            <family val="2"/>
          </rPr>
          <t>due to the ratio</t>
        </r>
        <r>
          <rPr>
            <sz val="10"/>
            <rFont val="Tahoma"/>
            <family val="2"/>
          </rPr>
          <t xml:space="preserve"> of C:M you are testing.
  </t>
        </r>
        <r>
          <rPr>
            <b/>
            <sz val="10"/>
            <rFont val="Tahoma"/>
            <family val="2"/>
          </rPr>
          <t>This</t>
        </r>
        <r>
          <rPr>
            <sz val="10"/>
            <rFont val="Tahoma"/>
            <family val="2"/>
          </rPr>
          <t xml:space="preserve"> comparison is for the </t>
        </r>
        <r>
          <rPr>
            <sz val="10"/>
            <color indexed="10"/>
            <rFont val="Tahoma"/>
            <family val="2"/>
          </rPr>
          <t>overall</t>
        </r>
        <r>
          <rPr>
            <sz val="10"/>
            <rFont val="Tahoma"/>
            <family val="2"/>
          </rPr>
          <t xml:space="preserve"> plan, and may include a decision to oversample, for instance.</t>
        </r>
      </text>
    </comment>
    <comment ref="F19" authorId="1">
      <text>
        <r>
          <rPr>
            <sz val="10"/>
            <rFont val="Tahoma"/>
            <family val="2"/>
          </rPr>
          <t xml:space="preserve">  </t>
        </r>
        <r>
          <rPr>
            <sz val="10"/>
            <color indexed="12"/>
            <rFont val="Tahoma"/>
            <family val="2"/>
          </rPr>
          <t>This is the</t>
        </r>
        <r>
          <rPr>
            <sz val="10"/>
            <rFont val="Tahoma"/>
            <family val="2"/>
          </rPr>
          <t xml:space="preserve"> </t>
        </r>
        <r>
          <rPr>
            <sz val="10"/>
            <color indexed="10"/>
            <rFont val="Tahoma"/>
            <family val="2"/>
          </rPr>
          <t>relative cost percentage of the cruise you are testing vs. the optimal solution.</t>
        </r>
        <r>
          <rPr>
            <sz val="10"/>
            <rFont val="Tahoma"/>
            <family val="2"/>
          </rPr>
          <t xml:space="preserve">  
  Bear in mind that it </t>
        </r>
        <r>
          <rPr>
            <sz val="10"/>
            <color indexed="10"/>
            <rFont val="Tahoma"/>
            <family val="2"/>
          </rPr>
          <t>may be for a different SE%,</t>
        </r>
        <r>
          <rPr>
            <sz val="10"/>
            <rFont val="Tahoma"/>
            <family val="2"/>
          </rPr>
          <t xml:space="preserve"> and therefore may look more or less efficient than getting exactly the same result.  
  </t>
        </r>
        <r>
          <rPr>
            <sz val="10"/>
            <color indexed="10"/>
            <rFont val="Tahoma"/>
            <family val="2"/>
          </rPr>
          <t xml:space="preserve">This comparison is for the </t>
        </r>
        <r>
          <rPr>
            <u val="single"/>
            <sz val="10"/>
            <color indexed="10"/>
            <rFont val="Tahoma"/>
            <family val="2"/>
          </rPr>
          <t>overall</t>
        </r>
        <r>
          <rPr>
            <sz val="10"/>
            <color indexed="10"/>
            <rFont val="Tahoma"/>
            <family val="2"/>
          </rPr>
          <t xml:space="preserve"> plan, and may include a decision to oversample, for instance.
   </t>
        </r>
        <r>
          <rPr>
            <b/>
            <sz val="10"/>
            <color indexed="10"/>
            <rFont val="Tahoma"/>
            <family val="2"/>
          </rPr>
          <t>Comparitive</t>
        </r>
        <r>
          <rPr>
            <sz val="10"/>
            <color indexed="12"/>
            <rFont val="Tahoma"/>
            <family val="2"/>
          </rPr>
          <t xml:space="preserve"> efficiency is available in Cells {D, 17 &amp; 18}</t>
        </r>
      </text>
    </comment>
    <comment ref="F18" authorId="1">
      <text>
        <r>
          <rPr>
            <sz val="10"/>
            <rFont val="Tahoma"/>
            <family val="2"/>
          </rPr>
          <t xml:space="preserve">  This is the </t>
        </r>
        <r>
          <rPr>
            <sz val="10"/>
            <color indexed="10"/>
            <rFont val="Tahoma"/>
            <family val="2"/>
          </rPr>
          <t>overall cost</t>
        </r>
        <r>
          <rPr>
            <sz val="10"/>
            <rFont val="Tahoma"/>
            <family val="2"/>
          </rPr>
          <t xml:space="preserve"> of the cruise plan you are testing.</t>
        </r>
      </text>
    </comment>
    <comment ref="H15" authorId="1">
      <text>
        <r>
          <rPr>
            <sz val="10"/>
            <rFont val="Tahoma"/>
            <family val="2"/>
          </rPr>
          <t xml:space="preserve">  This is the </t>
        </r>
        <r>
          <rPr>
            <sz val="10"/>
            <color indexed="10"/>
            <rFont val="Tahoma"/>
            <family val="2"/>
          </rPr>
          <t>average tree count you are expecting</t>
        </r>
        <r>
          <rPr>
            <sz val="10"/>
            <rFont val="Tahoma"/>
            <family val="2"/>
          </rPr>
          <t xml:space="preserve"> on the cruise.
-------------------
  Get the </t>
        </r>
        <r>
          <rPr>
            <sz val="10"/>
            <color indexed="10"/>
            <rFont val="Tahoma"/>
            <family val="2"/>
          </rPr>
          <t>approximate basal area</t>
        </r>
        <r>
          <rPr>
            <sz val="10"/>
            <rFont val="Tahoma"/>
            <family val="2"/>
          </rPr>
          <t xml:space="preserve"> on the tract (use </t>
        </r>
        <r>
          <rPr>
            <u val="single"/>
            <sz val="10"/>
            <rFont val="Tahoma"/>
            <family val="2"/>
          </rPr>
          <t>any</t>
        </r>
        <r>
          <rPr>
            <sz val="10"/>
            <rFont val="Tahoma"/>
            <family val="2"/>
          </rPr>
          <t xml:space="preserve"> prism, or your calibrated thumb to get this).  
  Then </t>
        </r>
        <r>
          <rPr>
            <sz val="10"/>
            <color indexed="10"/>
            <rFont val="Tahoma"/>
            <family val="2"/>
          </rPr>
          <t>divide it by the BAF</t>
        </r>
        <r>
          <rPr>
            <sz val="10"/>
            <rFont val="Tahoma"/>
            <family val="2"/>
          </rPr>
          <t xml:space="preserve"> you </t>
        </r>
        <r>
          <rPr>
            <u val="single"/>
            <sz val="10"/>
            <rFont val="Tahoma"/>
            <family val="2"/>
          </rPr>
          <t>intend</t>
        </r>
        <r>
          <rPr>
            <sz val="10"/>
            <rFont val="Tahoma"/>
            <family val="2"/>
          </rPr>
          <t xml:space="preserve"> to use and you will get the </t>
        </r>
        <r>
          <rPr>
            <sz val="10"/>
            <color indexed="10"/>
            <rFont val="Tahoma"/>
            <family val="2"/>
          </rPr>
          <t>average tree count</t>
        </r>
        <r>
          <rPr>
            <sz val="10"/>
            <rFont val="Tahoma"/>
            <family val="2"/>
          </rPr>
          <t xml:space="preserve"> with that BAF.
  Alternatively, divide the basal area by the count you WANT, and that will calculate the BAF you should use for counting trees.</t>
        </r>
      </text>
    </comment>
    <comment ref="F16" authorId="1">
      <text>
        <r>
          <rPr>
            <sz val="10"/>
            <rFont val="Tahoma"/>
            <family val="2"/>
          </rPr>
          <t xml:space="preserve">  This is the </t>
        </r>
        <r>
          <rPr>
            <sz val="10"/>
            <color indexed="10"/>
            <rFont val="Tahoma"/>
            <family val="2"/>
          </rPr>
          <t>SE% for the *BAR measurements,</t>
        </r>
        <r>
          <rPr>
            <sz val="10"/>
            <rFont val="Tahoma"/>
            <family val="2"/>
          </rPr>
          <t xml:space="preserve"> assuming the number that you are testing, as entered in cell C16.
</t>
        </r>
      </text>
    </comment>
    <comment ref="I19" authorId="1">
      <text>
        <r>
          <rPr>
            <sz val="10"/>
            <rFont val="Tahoma"/>
            <family val="2"/>
          </rPr>
          <t xml:space="preserve">  There is not really a CV for Variable Plot sampling when you use count and measure plots, because the variability depends on the ratio of C:M plots.
  </t>
        </r>
        <r>
          <rPr>
            <sz val="10"/>
            <color indexed="10"/>
            <rFont val="Tahoma"/>
            <family val="2"/>
          </rPr>
          <t>If you want a reasonable approximation to the CV,</t>
        </r>
        <r>
          <rPr>
            <sz val="10"/>
            <rFont val="Tahoma"/>
            <family val="2"/>
          </rPr>
          <t xml:space="preserve"> using the  ratio you are testing, then this is a good one.
  If you want to calculate some other sample size, this can be plugged into the standard equations.</t>
        </r>
      </text>
    </comment>
    <comment ref="H22" authorId="1">
      <text>
        <r>
          <rPr>
            <sz val="10"/>
            <rFont val="Tahoma"/>
            <family val="2"/>
          </rPr>
          <t xml:space="preserve">This is just the </t>
        </r>
        <r>
          <rPr>
            <sz val="10"/>
            <color indexed="10"/>
            <rFont val="Tahoma"/>
            <family val="2"/>
          </rPr>
          <t>desired SE%</t>
        </r>
        <r>
          <rPr>
            <sz val="10"/>
            <rFont val="Tahoma"/>
            <family val="2"/>
          </rPr>
          <t xml:space="preserve"> you entered from the first section, cell {D9}.</t>
        </r>
      </text>
    </comment>
    <comment ref="C24" authorId="1">
      <text>
        <r>
          <rPr>
            <sz val="10"/>
            <rFont val="Tahoma"/>
            <family val="2"/>
          </rPr>
          <t xml:space="preserve">This is the </t>
        </r>
        <r>
          <rPr>
            <sz val="10"/>
            <color indexed="10"/>
            <rFont val="Tahoma"/>
            <family val="2"/>
          </rPr>
          <t>number of tree counts</t>
        </r>
        <r>
          <rPr>
            <sz val="10"/>
            <rFont val="Tahoma"/>
            <family val="2"/>
          </rPr>
          <t xml:space="preserve"> you need to take to produce the SE% you entered (copied into cell H22 from D9).</t>
        </r>
      </text>
    </comment>
    <comment ref="C25" authorId="1">
      <text>
        <r>
          <rPr>
            <sz val="10"/>
            <rFont val="Tahoma"/>
            <family val="2"/>
          </rPr>
          <t xml:space="preserve">  This is the </t>
        </r>
        <r>
          <rPr>
            <sz val="10"/>
            <color indexed="10"/>
            <rFont val="Tahoma"/>
            <family val="2"/>
          </rPr>
          <t>number of measured trees.</t>
        </r>
        <r>
          <rPr>
            <sz val="10"/>
            <rFont val="Tahoma"/>
            <family val="2"/>
          </rPr>
          <t xml:space="preserve">  It is calculated to give the correct overall SE% (under the assumption that the CV in the first section is for *BAR of </t>
        </r>
        <r>
          <rPr>
            <u val="single"/>
            <sz val="10"/>
            <rFont val="Tahoma"/>
            <family val="2"/>
          </rPr>
          <t>trees</t>
        </r>
        <r>
          <rPr>
            <sz val="10"/>
            <rFont val="Tahoma"/>
            <family val="2"/>
          </rPr>
          <t>).  If "too many" measurements are taken (this is the usual case) it reduces the  number of plots.</t>
        </r>
        <r>
          <rPr>
            <sz val="10"/>
            <rFont val="Tahoma"/>
            <family val="0"/>
          </rPr>
          <t xml:space="preserve">
</t>
        </r>
      </text>
    </comment>
    <comment ref="C27" authorId="1">
      <text>
        <r>
          <rPr>
            <sz val="10"/>
            <rFont val="Tahoma"/>
            <family val="2"/>
          </rPr>
          <t xml:space="preserve">  This is the </t>
        </r>
        <r>
          <rPr>
            <sz val="10"/>
            <color indexed="10"/>
            <rFont val="Tahoma"/>
            <family val="2"/>
          </rPr>
          <t>total cost</t>
        </r>
        <r>
          <rPr>
            <sz val="10"/>
            <rFont val="Tahoma"/>
            <family val="2"/>
          </rPr>
          <t xml:space="preserve"> of obtaining the required SE% (cell D26) </t>
        </r>
        <r>
          <rPr>
            <sz val="10"/>
            <color indexed="10"/>
            <rFont val="Tahoma"/>
            <family val="2"/>
          </rPr>
          <t>IF</t>
        </r>
        <r>
          <rPr>
            <sz val="10"/>
            <rFont val="Tahoma"/>
            <family val="2"/>
          </rPr>
          <t xml:space="preserve"> you choose to measure </t>
        </r>
        <r>
          <rPr>
            <sz val="10"/>
            <color indexed="10"/>
            <rFont val="Tahoma"/>
            <family val="2"/>
          </rPr>
          <t>all</t>
        </r>
        <r>
          <rPr>
            <sz val="10"/>
            <rFont val="Tahoma"/>
            <family val="2"/>
          </rPr>
          <t xml:space="preserve"> the trees on </t>
        </r>
        <r>
          <rPr>
            <sz val="10"/>
            <color indexed="10"/>
            <rFont val="Tahoma"/>
            <family val="2"/>
          </rPr>
          <t>all</t>
        </r>
        <r>
          <rPr>
            <sz val="10"/>
            <rFont val="Tahoma"/>
            <family val="2"/>
          </rPr>
          <t xml:space="preserve"> the points.</t>
        </r>
      </text>
    </comment>
    <comment ref="B62" authorId="1">
      <text>
        <r>
          <rPr>
            <sz val="10"/>
            <rFont val="Tahoma"/>
            <family val="2"/>
          </rPr>
          <t xml:space="preserve">  </t>
        </r>
        <r>
          <rPr>
            <sz val="10"/>
            <color indexed="10"/>
            <rFont val="Tahoma"/>
            <family val="2"/>
          </rPr>
          <t>Enter</t>
        </r>
        <r>
          <rPr>
            <sz val="10"/>
            <rFont val="Tahoma"/>
            <family val="2"/>
          </rPr>
          <t xml:space="preserve"> the </t>
        </r>
        <r>
          <rPr>
            <u val="single"/>
            <sz val="10"/>
            <rFont val="Tahoma"/>
            <family val="2"/>
          </rPr>
          <t>English</t>
        </r>
        <r>
          <rPr>
            <sz val="10"/>
            <rFont val="Tahoma"/>
            <family val="2"/>
          </rPr>
          <t xml:space="preserve"> </t>
        </r>
        <r>
          <rPr>
            <sz val="10"/>
            <color indexed="10"/>
            <rFont val="Tahoma"/>
            <family val="2"/>
          </rPr>
          <t>BAF</t>
        </r>
        <r>
          <rPr>
            <sz val="10"/>
            <rFont val="Tahoma"/>
            <family val="2"/>
          </rPr>
          <t xml:space="preserve"> </t>
        </r>
        <r>
          <rPr>
            <sz val="10"/>
            <color indexed="10"/>
            <rFont val="Tahoma"/>
            <family val="2"/>
          </rPr>
          <t xml:space="preserve">in square feet per acre.
</t>
        </r>
      </text>
    </comment>
    <comment ref="F65" authorId="1">
      <text>
        <r>
          <rPr>
            <sz val="10"/>
            <rFont val="Tahoma"/>
            <family val="2"/>
          </rPr>
          <t xml:space="preserve">  This is the </t>
        </r>
        <r>
          <rPr>
            <u val="single"/>
            <sz val="10"/>
            <rFont val="Tahoma"/>
            <family val="2"/>
          </rPr>
          <t>English</t>
        </r>
        <r>
          <rPr>
            <sz val="10"/>
            <rFont val="Tahoma"/>
            <family val="2"/>
          </rPr>
          <t xml:space="preserve"> </t>
        </r>
        <r>
          <rPr>
            <sz val="10"/>
            <color indexed="10"/>
            <rFont val="Tahoma"/>
            <family val="2"/>
          </rPr>
          <t>Plot Radius Factor</t>
        </r>
        <r>
          <rPr>
            <sz val="10"/>
            <rFont val="Tahoma"/>
            <family val="2"/>
          </rPr>
          <t xml:space="preserve"> for that BAF, to the </t>
        </r>
        <r>
          <rPr>
            <u val="single"/>
            <sz val="10"/>
            <color indexed="10"/>
            <rFont val="Tahoma"/>
            <family val="2"/>
          </rPr>
          <t>center</t>
        </r>
        <r>
          <rPr>
            <sz val="10"/>
            <rFont val="Tahoma"/>
            <family val="2"/>
          </rPr>
          <t xml:space="preserve"> of the tree, in </t>
        </r>
        <r>
          <rPr>
            <sz val="10"/>
            <color indexed="10"/>
            <rFont val="Tahoma"/>
            <family val="2"/>
          </rPr>
          <t xml:space="preserve">feet per inch of DBH.
</t>
        </r>
        <r>
          <rPr>
            <sz val="10"/>
            <color indexed="18"/>
            <rFont val="Tahoma"/>
            <family val="2"/>
          </rPr>
          <t xml:space="preserve">  Note that the PRF to the </t>
        </r>
        <r>
          <rPr>
            <i/>
            <sz val="10"/>
            <color indexed="18"/>
            <rFont val="Tahoma"/>
            <family val="2"/>
          </rPr>
          <t>face</t>
        </r>
        <r>
          <rPr>
            <sz val="10"/>
            <color indexed="18"/>
            <rFont val="Tahoma"/>
            <family val="2"/>
          </rPr>
          <t xml:space="preserve"> of the tree is also computed in the </t>
        </r>
        <r>
          <rPr>
            <i/>
            <sz val="10"/>
            <color indexed="18"/>
            <rFont val="Tahoma"/>
            <family val="2"/>
          </rPr>
          <t>next section.</t>
        </r>
      </text>
    </comment>
    <comment ref="H63" authorId="1">
      <text>
        <r>
          <rPr>
            <sz val="10"/>
            <rFont val="Tahoma"/>
            <family val="2"/>
          </rPr>
          <t xml:space="preserve">  This is the </t>
        </r>
        <r>
          <rPr>
            <sz val="10"/>
            <color indexed="10"/>
            <rFont val="Tahoma"/>
            <family val="2"/>
          </rPr>
          <t xml:space="preserve">area of the plot </t>
        </r>
        <r>
          <rPr>
            <sz val="10"/>
            <color indexed="18"/>
            <rFont val="Tahoma"/>
            <family val="2"/>
          </rPr>
          <t>around that tree, in</t>
        </r>
        <r>
          <rPr>
            <sz val="10"/>
            <rFont val="Tahoma"/>
            <family val="2"/>
          </rPr>
          <t xml:space="preserve"> </t>
        </r>
        <r>
          <rPr>
            <sz val="10"/>
            <color indexed="10"/>
            <rFont val="Tahoma"/>
            <family val="2"/>
          </rPr>
          <t>acres,</t>
        </r>
        <r>
          <rPr>
            <sz val="10"/>
            <rFont val="Tahoma"/>
            <family val="2"/>
          </rPr>
          <t xml:space="preserve"> using the DBH and BAF entered.</t>
        </r>
      </text>
    </comment>
    <comment ref="F66" authorId="1">
      <text>
        <r>
          <rPr>
            <sz val="10"/>
            <rFont val="Tahoma"/>
            <family val="2"/>
          </rPr>
          <t xml:space="preserve">  This is the </t>
        </r>
        <r>
          <rPr>
            <sz val="10"/>
            <color indexed="10"/>
            <rFont val="Tahoma"/>
            <family val="2"/>
          </rPr>
          <t>Plot Radius Factor,</t>
        </r>
        <r>
          <rPr>
            <sz val="10"/>
            <rFont val="Tahoma"/>
            <family val="2"/>
          </rPr>
          <t xml:space="preserve"> in </t>
        </r>
        <r>
          <rPr>
            <sz val="10"/>
            <color indexed="10"/>
            <rFont val="Tahoma"/>
            <family val="2"/>
          </rPr>
          <t>Feet per inch</t>
        </r>
        <r>
          <rPr>
            <sz val="10"/>
            <rFont val="Tahoma"/>
            <family val="2"/>
          </rPr>
          <t xml:space="preserve"> of DBH, from the </t>
        </r>
        <r>
          <rPr>
            <u val="single"/>
            <sz val="10"/>
            <color indexed="10"/>
            <rFont val="Tahoma"/>
            <family val="2"/>
          </rPr>
          <t>FACE</t>
        </r>
        <r>
          <rPr>
            <sz val="10"/>
            <rFont val="Tahoma"/>
            <family val="2"/>
          </rPr>
          <t xml:space="preserve"> of the tree to the edge of the plot around that tree.</t>
        </r>
      </text>
    </comment>
    <comment ref="C20" authorId="1">
      <text>
        <r>
          <rPr>
            <sz val="10"/>
            <color indexed="18"/>
            <rFont val="Tahoma"/>
            <family val="2"/>
          </rPr>
          <t xml:space="preserve">  The comments are shown when you are on a cell with a red triangle in the upper right (or if that cell is frequently filled in, the red triangle and comment is on the cell next to it).
  </t>
        </r>
        <r>
          <rPr>
            <sz val="10"/>
            <color indexed="10"/>
            <rFont val="Tahoma"/>
            <family val="2"/>
          </rPr>
          <t>If the comments flow off the screen,</t>
        </r>
        <r>
          <rPr>
            <sz val="10"/>
            <color indexed="18"/>
            <rFont val="Tahoma"/>
            <family val="2"/>
          </rPr>
          <t xml:space="preserve"> hold down the left mouse button and drag until the whole comment is visible.
  </t>
        </r>
        <r>
          <rPr>
            <sz val="10"/>
            <color indexed="10"/>
            <rFont val="Tahoma"/>
            <family val="2"/>
          </rPr>
          <t>You can turn off all these comments</t>
        </r>
        <r>
          <rPr>
            <sz val="10"/>
            <color indexed="18"/>
            <rFont val="Tahoma"/>
            <family val="2"/>
          </rPr>
          <t xml:space="preserve"> once you are familiar with the spreadsheet, using  
      {Tools/options/view/comments/none}
If you turn off the comments, you can always check them on the "demo copy" worksheet, which does not compute numbers.</t>
        </r>
        <r>
          <rPr>
            <b/>
            <sz val="10"/>
            <rFont val="Tahoma"/>
            <family val="0"/>
          </rPr>
          <t xml:space="preserve">
</t>
        </r>
      </text>
    </comment>
    <comment ref="F27" authorId="1">
      <text>
        <r>
          <rPr>
            <sz val="10"/>
            <rFont val="Tahoma"/>
            <family val="2"/>
          </rPr>
          <t xml:space="preserve">This is the </t>
        </r>
        <r>
          <rPr>
            <sz val="10"/>
            <color indexed="10"/>
            <rFont val="Tahoma"/>
            <family val="2"/>
          </rPr>
          <t>relative cost of the "full measure" plots</t>
        </r>
        <r>
          <rPr>
            <sz val="10"/>
            <rFont val="Tahoma"/>
            <family val="2"/>
          </rPr>
          <t xml:space="preserve"> as a percentage of the optimal ratio of C:M (to get the same result).</t>
        </r>
      </text>
    </comment>
    <comment ref="I26" authorId="1">
      <text>
        <r>
          <rPr>
            <sz val="10"/>
            <rFont val="Tahoma"/>
            <family val="2"/>
          </rPr>
          <t xml:space="preserve">  This is the </t>
        </r>
        <r>
          <rPr>
            <sz val="10"/>
            <color indexed="10"/>
            <rFont val="Tahoma"/>
            <family val="2"/>
          </rPr>
          <t>cost per sample point visited.</t>
        </r>
        <r>
          <rPr>
            <sz val="10"/>
            <rFont val="Tahoma"/>
            <family val="2"/>
          </rPr>
          <t xml:space="preserve">  
  It cannot be strictly compared to the other cost per point in cell H11, since different schemes are used.  The </t>
        </r>
        <r>
          <rPr>
            <sz val="10"/>
            <color indexed="10"/>
            <rFont val="Tahoma"/>
            <family val="2"/>
          </rPr>
          <t>relative efficiency is best expressed by cell F27, or I27.</t>
        </r>
      </text>
    </comment>
    <comment ref="I27" authorId="1">
      <text>
        <r>
          <rPr>
            <sz val="10"/>
            <rFont val="Tahoma"/>
            <family val="2"/>
          </rPr>
          <t xml:space="preserve">  This is the </t>
        </r>
        <r>
          <rPr>
            <sz val="10"/>
            <color indexed="10"/>
            <rFont val="Tahoma"/>
            <family val="2"/>
          </rPr>
          <t>efficiency of the "full measured" option,</t>
        </r>
        <r>
          <rPr>
            <sz val="10"/>
            <rFont val="Tahoma"/>
            <family val="2"/>
          </rPr>
          <t xml:space="preserve"> as compared to the </t>
        </r>
        <r>
          <rPr>
            <i/>
            <sz val="10"/>
            <rFont val="Tahoma"/>
            <family val="2"/>
          </rPr>
          <t>optimal</t>
        </r>
        <r>
          <rPr>
            <sz val="10"/>
            <rFont val="Tahoma"/>
            <family val="2"/>
          </rPr>
          <t xml:space="preserve"> C:M ratio, (including fixed costs).  
</t>
        </r>
      </text>
    </comment>
    <comment ref="I16" authorId="1">
      <text>
        <r>
          <rPr>
            <sz val="10"/>
            <rFont val="Tahoma"/>
            <family val="2"/>
          </rPr>
          <t xml:space="preserve">  This is </t>
        </r>
        <r>
          <rPr>
            <sz val="10"/>
            <color indexed="10"/>
            <rFont val="Tahoma"/>
            <family val="2"/>
          </rPr>
          <t xml:space="preserve">the total number of trees you will  </t>
        </r>
        <r>
          <rPr>
            <u val="single"/>
            <sz val="10"/>
            <color indexed="10"/>
            <rFont val="Tahoma"/>
            <family val="2"/>
          </rPr>
          <t>choose</t>
        </r>
        <r>
          <rPr>
            <sz val="10"/>
            <color indexed="10"/>
            <rFont val="Tahoma"/>
            <family val="2"/>
          </rPr>
          <t xml:space="preserve"> from (for *BAR) during the cruise</t>
        </r>
        <r>
          <rPr>
            <sz val="10"/>
            <rFont val="Tahoma"/>
            <family val="2"/>
          </rPr>
          <t xml:space="preserve"> that you are considering.
    You can use the "Big BAF" multiplier to choose a prism which will automatically select  the right number of trees to measure (if your estimate of average tree count is accurate).</t>
        </r>
      </text>
    </comment>
    <comment ref="I18" authorId="1">
      <text>
        <r>
          <rPr>
            <sz val="10"/>
            <rFont val="Tahoma"/>
            <family val="2"/>
          </rPr>
          <t xml:space="preserve">  This is the average </t>
        </r>
        <r>
          <rPr>
            <sz val="10"/>
            <color indexed="10"/>
            <rFont val="Tahoma"/>
            <family val="2"/>
          </rPr>
          <t>cost per sample point visited.</t>
        </r>
        <r>
          <rPr>
            <sz val="10"/>
            <rFont val="Tahoma"/>
            <family val="2"/>
          </rPr>
          <t xml:space="preserve">  
  It cannot be strictly compared to the other cost per point in cell G11, since different schemes are used.  </t>
        </r>
      </text>
    </comment>
    <comment ref="I17" authorId="1">
      <text>
        <r>
          <rPr>
            <sz val="10"/>
            <rFont val="Tahoma"/>
            <family val="2"/>
          </rPr>
          <t xml:space="preserve">  This is the </t>
        </r>
        <r>
          <rPr>
            <sz val="10"/>
            <color indexed="10"/>
            <rFont val="Tahoma"/>
            <family val="2"/>
          </rPr>
          <t>number of fully measured plots you will be measuring during the cruise</t>
        </r>
        <r>
          <rPr>
            <sz val="10"/>
            <rFont val="Tahoma"/>
            <family val="2"/>
          </rPr>
          <t xml:space="preserve"> to get the required number of VBARs.
  You can check the "Big BAF multiplier" to find out how often that would occur.  For instance you might need 2.71 plots (obviously rounded to 3, and in 31 plots with 7 trees/plot to get about 19 trees.  That would be one per 11.42 plots (which would be the ratio in cell I14).  It would be better to select every 12th tree than to take them in 3 clusters like this.  </t>
        </r>
      </text>
    </comment>
    <comment ref="C11" authorId="1">
      <text>
        <r>
          <rPr>
            <sz val="10"/>
            <rFont val="Tahoma"/>
            <family val="2"/>
          </rPr>
          <t xml:space="preserve">  This is the </t>
        </r>
        <r>
          <rPr>
            <sz val="10"/>
            <color indexed="10"/>
            <rFont val="Tahoma"/>
            <family val="2"/>
          </rPr>
          <t>number of points</t>
        </r>
        <r>
          <rPr>
            <sz val="10"/>
            <rFont val="Tahoma"/>
            <family val="2"/>
          </rPr>
          <t xml:space="preserve"> you must visit and make a tree count.</t>
        </r>
      </text>
    </comment>
    <comment ref="C12" authorId="1">
      <text>
        <r>
          <rPr>
            <sz val="10"/>
            <rFont val="Tahoma"/>
            <family val="2"/>
          </rPr>
          <t xml:space="preserve">   This is the </t>
        </r>
        <r>
          <rPr>
            <sz val="10"/>
            <color indexed="10"/>
            <rFont val="Tahoma"/>
            <family val="2"/>
          </rPr>
          <t>number of *BAR measurements</t>
        </r>
        <r>
          <rPr>
            <sz val="10"/>
            <rFont val="Tahoma"/>
            <family val="2"/>
          </rPr>
          <t xml:space="preserve"> you should make for optimal efficiency.
</t>
        </r>
        <r>
          <rPr>
            <sz val="10"/>
            <color indexed="10"/>
            <rFont val="Tahoma"/>
            <family val="2"/>
          </rPr>
          <t xml:space="preserve">   Normally this is the number of trees to measure.</t>
        </r>
        <r>
          <rPr>
            <sz val="10"/>
            <rFont val="Tahoma"/>
            <family val="2"/>
          </rPr>
          <t xml:space="preserve"> 
</t>
        </r>
        <r>
          <rPr>
            <sz val="10"/>
            <color indexed="12"/>
            <rFont val="Tahoma"/>
            <family val="2"/>
          </rPr>
          <t xml:space="preserve">  I suggest the use of</t>
        </r>
        <r>
          <rPr>
            <sz val="10"/>
            <color indexed="10"/>
            <rFont val="Tahoma"/>
            <family val="2"/>
          </rPr>
          <t xml:space="preserve"> "distributed VBARs" </t>
        </r>
        <r>
          <rPr>
            <sz val="10"/>
            <color indexed="12"/>
            <rFont val="Tahoma"/>
            <family val="2"/>
          </rPr>
          <t xml:space="preserve">where you spread the measurements throughout the stand using a larger BAF (rather than put them all in a few clusters).  This is a personal choice, and the compilation routine must be able to handle that (and can usually be tricked into doing so).
--------------------------------------
  It </t>
        </r>
        <r>
          <rPr>
            <u val="single"/>
            <sz val="10"/>
            <color indexed="12"/>
            <rFont val="Tahoma"/>
            <family val="2"/>
          </rPr>
          <t>could</t>
        </r>
        <r>
          <rPr>
            <sz val="10"/>
            <color indexed="12"/>
            <rFont val="Tahoma"/>
            <family val="2"/>
          </rPr>
          <t xml:space="preserve"> also be the number of fully measured sample points, </t>
        </r>
        <r>
          <rPr>
            <u val="double"/>
            <sz val="10"/>
            <color indexed="12"/>
            <rFont val="Tahoma"/>
            <family val="2"/>
          </rPr>
          <t>if</t>
        </r>
        <r>
          <rPr>
            <u val="single"/>
            <sz val="10"/>
            <color indexed="12"/>
            <rFont val="Tahoma"/>
            <family val="2"/>
          </rPr>
          <t xml:space="preserve"> you entered the CV of the </t>
        </r>
        <r>
          <rPr>
            <i/>
            <u val="single"/>
            <sz val="10"/>
            <color indexed="12"/>
            <rFont val="Tahoma"/>
            <family val="2"/>
          </rPr>
          <t>average</t>
        </r>
        <r>
          <rPr>
            <u val="single"/>
            <sz val="10"/>
            <color indexed="12"/>
            <rFont val="Tahoma"/>
            <family val="2"/>
          </rPr>
          <t xml:space="preserve"> *BAR of a cluster of trees</t>
        </r>
        <r>
          <rPr>
            <sz val="10"/>
            <color indexed="12"/>
            <rFont val="Tahoma"/>
            <family val="2"/>
          </rPr>
          <t xml:space="preserve"> in cell B5.  
  Traditionally, people measure </t>
        </r>
        <r>
          <rPr>
            <u val="single"/>
            <sz val="10"/>
            <color indexed="12"/>
            <rFont val="Tahoma"/>
            <family val="2"/>
          </rPr>
          <t>all</t>
        </r>
        <r>
          <rPr>
            <sz val="10"/>
            <color indexed="12"/>
            <rFont val="Tahoma"/>
            <family val="2"/>
          </rPr>
          <t xml:space="preserve"> trees at </t>
        </r>
        <r>
          <rPr>
            <u val="single"/>
            <sz val="10"/>
            <color indexed="12"/>
            <rFont val="Tahoma"/>
            <family val="2"/>
          </rPr>
          <t>some</t>
        </r>
        <r>
          <rPr>
            <sz val="10"/>
            <color indexed="12"/>
            <rFont val="Tahoma"/>
            <family val="2"/>
          </rPr>
          <t xml:space="preserve"> points use the CV for VBARs of individual trees (so this computation indicates the number of trees) and </t>
        </r>
        <r>
          <rPr>
            <i/>
            <sz val="10"/>
            <color indexed="12"/>
            <rFont val="Tahoma"/>
            <family val="2"/>
          </rPr>
          <t>then</t>
        </r>
        <r>
          <rPr>
            <sz val="10"/>
            <color indexed="12"/>
            <rFont val="Tahoma"/>
            <family val="2"/>
          </rPr>
          <t xml:space="preserve"> compute the number of points that would accumulate that number of trees.  If you need 50 trees, and expect 6 tree/point, measure about 8-10 full points in order to accumulate that number of measured trees.</t>
        </r>
      </text>
    </comment>
    <comment ref="E11" authorId="1">
      <text>
        <r>
          <rPr>
            <sz val="10"/>
            <rFont val="Tahoma"/>
            <family val="2"/>
          </rPr>
          <t xml:space="preserve">  </t>
        </r>
        <r>
          <rPr>
            <sz val="10"/>
            <color indexed="12"/>
            <rFont val="Tahoma"/>
            <family val="2"/>
          </rPr>
          <t xml:space="preserve"> This is the calculated</t>
        </r>
        <r>
          <rPr>
            <sz val="10"/>
            <rFont val="Tahoma"/>
            <family val="2"/>
          </rPr>
          <t xml:space="preserve"> </t>
        </r>
        <r>
          <rPr>
            <sz val="10"/>
            <color indexed="10"/>
            <rFont val="Tahoma"/>
            <family val="2"/>
          </rPr>
          <t xml:space="preserve">SE% for the </t>
        </r>
        <r>
          <rPr>
            <u val="single"/>
            <sz val="10"/>
            <color indexed="10"/>
            <rFont val="Tahoma"/>
            <family val="2"/>
          </rPr>
          <t>basal area</t>
        </r>
        <r>
          <rPr>
            <sz val="10"/>
            <color indexed="10"/>
            <rFont val="Tahoma"/>
            <family val="2"/>
          </rPr>
          <t xml:space="preserve"> (or tree count) </t>
        </r>
        <r>
          <rPr>
            <sz val="10"/>
            <color indexed="12"/>
            <rFont val="Tahoma"/>
            <family val="2"/>
          </rPr>
          <t>using this number of sample points.  
   It should be balanced with the number of measurements in order to minimize overall cost.</t>
        </r>
      </text>
    </comment>
    <comment ref="E12" authorId="1">
      <text>
        <r>
          <rPr>
            <sz val="10"/>
            <rFont val="Tahoma"/>
            <family val="2"/>
          </rPr>
          <t xml:space="preserve">   This is the calculated </t>
        </r>
        <r>
          <rPr>
            <sz val="10"/>
            <color indexed="10"/>
            <rFont val="Tahoma"/>
            <family val="2"/>
          </rPr>
          <t xml:space="preserve">SE% for the </t>
        </r>
        <r>
          <rPr>
            <u val="single"/>
            <sz val="10"/>
            <color indexed="10"/>
            <rFont val="Tahoma"/>
            <family val="2"/>
          </rPr>
          <t>*BAR</t>
        </r>
        <r>
          <rPr>
            <sz val="10"/>
            <color indexed="10"/>
            <rFont val="Tahoma"/>
            <family val="2"/>
          </rPr>
          <t xml:space="preserve"> measurements</t>
        </r>
        <r>
          <rPr>
            <sz val="10"/>
            <rFont val="Tahoma"/>
            <family val="2"/>
          </rPr>
          <t xml:space="preserve"> with this number of measured items (usually trees).  
   It is balanced with the number of tree counts in order to minimize overall cost</t>
        </r>
      </text>
    </comment>
    <comment ref="G11" authorId="1">
      <text>
        <r>
          <rPr>
            <sz val="10"/>
            <rFont val="Tahoma"/>
            <family val="2"/>
          </rPr>
          <t xml:space="preserve">  This is the </t>
        </r>
        <r>
          <rPr>
            <sz val="10"/>
            <color indexed="10"/>
            <rFont val="Tahoma"/>
            <family val="2"/>
          </rPr>
          <t>total cost</t>
        </r>
        <r>
          <rPr>
            <sz val="10"/>
            <rFont val="Tahoma"/>
            <family val="2"/>
          </rPr>
          <t xml:space="preserve"> of the optimized "count vs. measure" ratio </t>
        </r>
        <r>
          <rPr>
            <sz val="10"/>
            <color indexed="10"/>
            <rFont val="Tahoma"/>
            <family val="2"/>
          </rPr>
          <t>to provide you the SE% you required.</t>
        </r>
        <r>
          <rPr>
            <sz val="10"/>
            <rFont val="Tahoma"/>
            <family val="2"/>
          </rPr>
          <t xml:space="preserve">
  If you want to add extra plots (or try a different ratio of count vs. measure plots) it gives you a reference for the efficiency for the other alternatives.</t>
        </r>
      </text>
    </comment>
    <comment ref="I11" authorId="1">
      <text>
        <r>
          <rPr>
            <sz val="10"/>
            <rFont val="Tahoma"/>
            <family val="2"/>
          </rPr>
          <t xml:space="preserve">This is the </t>
        </r>
        <r>
          <rPr>
            <sz val="10"/>
            <color indexed="10"/>
            <rFont val="Tahoma"/>
            <family val="2"/>
          </rPr>
          <t>cost per sample point.</t>
        </r>
        <r>
          <rPr>
            <sz val="10"/>
            <rFont val="Tahoma"/>
            <family val="2"/>
          </rPr>
          <t xml:space="preserve">  It is simply the total cost divided by the number of sample points visited.</t>
        </r>
      </text>
    </comment>
    <comment ref="I12" authorId="1">
      <text>
        <r>
          <rPr>
            <sz val="10"/>
            <rFont val="Tahoma"/>
            <family val="2"/>
          </rPr>
          <t xml:space="preserve">  There is not really </t>
        </r>
        <r>
          <rPr>
            <i/>
            <sz val="10"/>
            <rFont val="Tahoma"/>
            <family val="2"/>
          </rPr>
          <t>one</t>
        </r>
        <r>
          <rPr>
            <sz val="10"/>
            <rFont val="Tahoma"/>
            <family val="2"/>
          </rPr>
          <t xml:space="preserve"> CV for Variable Plot sampling when you use count and measure plots, because the variability depends on the ratio of Count:Measure plots.
  </t>
        </r>
        <r>
          <rPr>
            <sz val="10"/>
            <color indexed="10"/>
            <rFont val="Tahoma"/>
            <family val="2"/>
          </rPr>
          <t>If you want a reasonable approximation to the CV,</t>
        </r>
        <r>
          <rPr>
            <sz val="10"/>
            <rFont val="Tahoma"/>
            <family val="2"/>
          </rPr>
          <t xml:space="preserve"> </t>
        </r>
        <r>
          <rPr>
            <u val="single"/>
            <sz val="10"/>
            <rFont val="Tahoma"/>
            <family val="2"/>
          </rPr>
          <t>using the optimium ratio,</t>
        </r>
        <r>
          <rPr>
            <sz val="10"/>
            <rFont val="Tahoma"/>
            <family val="2"/>
          </rPr>
          <t xml:space="preserve"> then this is a good one.
  If you want to calculate some other sample size, this CV can be plugged into the standard equations where "n" is the number of count plots.</t>
        </r>
      </text>
    </comment>
    <comment ref="F20" authorId="1">
      <text>
        <r>
          <rPr>
            <sz val="10"/>
            <rFont val="Tahoma"/>
            <family val="2"/>
          </rPr>
          <t xml:space="preserve">  I have removed any earlier edition macros for printing.
  The rest of the sections can be printed using EXCEL commands.  I have chosen the colors so they work with my laser black and white printer.  The print area is initially set to print a black and white version starting about line 100.
</t>
        </r>
      </text>
    </comment>
    <comment ref="B30" authorId="1">
      <text>
        <r>
          <rPr>
            <sz val="10"/>
            <rFont val="Tahoma"/>
            <family val="2"/>
          </rPr>
          <t xml:space="preserve">  </t>
        </r>
        <r>
          <rPr>
            <sz val="10"/>
            <color indexed="10"/>
            <rFont val="Tahoma"/>
            <family val="2"/>
          </rPr>
          <t xml:space="preserve">Enter </t>
        </r>
        <r>
          <rPr>
            <sz val="10"/>
            <color indexed="18"/>
            <rFont val="Tahoma"/>
            <family val="2"/>
          </rPr>
          <t>the</t>
        </r>
        <r>
          <rPr>
            <sz val="10"/>
            <color indexed="10"/>
            <rFont val="Tahoma"/>
            <family val="2"/>
          </rPr>
          <t xml:space="preserve"> percent "confidence" you want.
</t>
        </r>
        <r>
          <rPr>
            <sz val="10"/>
            <rFont val="Tahoma"/>
            <family val="2"/>
          </rPr>
          <t xml:space="preserve">  For the seriously geeky, this is the 
"2-tailed" value, meaning there is 2.5% on each side of the t-value that will be shown when you put in a 95% confidence limit.  
  My own preference is to use the 50% confidence level whenever possible.</t>
        </r>
      </text>
    </comment>
    <comment ref="B31" authorId="1">
      <text>
        <r>
          <rPr>
            <sz val="10"/>
            <color indexed="10"/>
            <rFont val="Tahoma"/>
            <family val="2"/>
          </rPr>
          <t xml:space="preserve">   Enter</t>
        </r>
        <r>
          <rPr>
            <sz val="10"/>
            <rFont val="Tahoma"/>
            <family val="2"/>
          </rPr>
          <t xml:space="preserve"> the </t>
        </r>
        <r>
          <rPr>
            <sz val="10"/>
            <color indexed="10"/>
            <rFont val="Tahoma"/>
            <family val="2"/>
          </rPr>
          <t>number of observations (n).</t>
        </r>
        <r>
          <rPr>
            <sz val="10"/>
            <rFont val="Tahoma"/>
            <family val="2"/>
          </rPr>
          <t xml:space="preserve">
</t>
        </r>
        <r>
          <rPr>
            <u val="single"/>
            <sz val="10"/>
            <rFont val="Tahoma"/>
            <family val="2"/>
          </rPr>
          <t>(Not</t>
        </r>
        <r>
          <rPr>
            <sz val="10"/>
            <rFont val="Tahoma"/>
            <family val="2"/>
          </rPr>
          <t xml:space="preserve"> the "degrees of freedom, which is n-1.)</t>
        </r>
      </text>
    </comment>
    <comment ref="C32" authorId="1">
      <text>
        <r>
          <rPr>
            <sz val="10"/>
            <color indexed="10"/>
            <rFont val="Tahoma"/>
            <family val="2"/>
          </rPr>
          <t xml:space="preserve">  This is the "t-value"</t>
        </r>
        <r>
          <rPr>
            <sz val="10"/>
            <rFont val="Tahoma"/>
            <family val="2"/>
          </rPr>
          <t xml:space="preserve"> for the confidence level and the number of observations you have entered.</t>
        </r>
      </text>
    </comment>
    <comment ref="D29" authorId="1">
      <text>
        <r>
          <rPr>
            <sz val="10"/>
            <rFont val="Tahoma"/>
            <family val="2"/>
          </rPr>
          <t xml:space="preserve">  </t>
        </r>
        <r>
          <rPr>
            <sz val="10"/>
            <color indexed="10"/>
            <rFont val="Tahoma"/>
            <family val="2"/>
          </rPr>
          <t xml:space="preserve">This section will calculate the "t-value" </t>
        </r>
        <r>
          <rPr>
            <sz val="10"/>
            <color indexed="18"/>
            <rFont val="Tahoma"/>
            <family val="2"/>
          </rPr>
          <t>for any number of observations</t>
        </r>
        <r>
          <rPr>
            <sz val="10"/>
            <rFont val="Tahoma"/>
            <family val="2"/>
          </rPr>
          <t xml:space="preserve"> and any confidence level entered in the red cells, which is easier than interpolating a standard "t table".
If you want to see a t-table, there is one reproduced starting at cell AO2 at the right side of this spreadsheet.</t>
        </r>
      </text>
    </comment>
    <comment ref="E30" authorId="1">
      <text>
        <r>
          <rPr>
            <sz val="10"/>
            <rFont val="Tahoma"/>
            <family val="2"/>
          </rPr>
          <t xml:space="preserve">You can </t>
        </r>
        <r>
          <rPr>
            <sz val="10"/>
            <color indexed="10"/>
            <rFont val="Tahoma"/>
            <family val="2"/>
          </rPr>
          <t xml:space="preserve">enter any SE%  that you want.
</t>
        </r>
        <r>
          <rPr>
            <sz val="10"/>
            <rFont val="Tahoma"/>
            <family val="2"/>
          </rPr>
          <t xml:space="preserve">   </t>
        </r>
        <r>
          <rPr>
            <u val="single"/>
            <sz val="10"/>
            <rFont val="Tahoma"/>
            <family val="2"/>
          </rPr>
          <t>Initially</t>
        </r>
        <r>
          <rPr>
            <sz val="10"/>
            <rFont val="Tahoma"/>
            <family val="2"/>
          </rPr>
          <t xml:space="preserve"> the original spreadsheet is set up to copy the SE% you desired in the optimal section at the top of the spreadsheet (cell D9).</t>
        </r>
      </text>
    </comment>
    <comment ref="E31" authorId="1">
      <text>
        <r>
          <rPr>
            <sz val="10"/>
            <rFont val="Tahoma"/>
            <family val="2"/>
          </rPr>
          <t xml:space="preserve">  This is simply the </t>
        </r>
        <r>
          <rPr>
            <sz val="10"/>
            <color indexed="10"/>
            <rFont val="Tahoma"/>
            <family val="2"/>
          </rPr>
          <t>"t" value</t>
        </r>
        <r>
          <rPr>
            <sz val="10"/>
            <rFont val="Tahoma"/>
            <family val="2"/>
          </rPr>
          <t xml:space="preserve"> in cell B32 </t>
        </r>
        <r>
          <rPr>
            <sz val="10"/>
            <color indexed="10"/>
            <rFont val="Tahoma"/>
            <family val="2"/>
          </rPr>
          <t>times the SE%</t>
        </r>
        <r>
          <rPr>
            <sz val="10"/>
            <rFont val="Tahoma"/>
            <family val="2"/>
          </rPr>
          <t xml:space="preserve"> you entered in the yellow cell above.</t>
        </r>
      </text>
    </comment>
    <comment ref="E33" authorId="1">
      <text>
        <r>
          <rPr>
            <sz val="10"/>
            <rFont val="Tahoma"/>
            <family val="2"/>
          </rPr>
          <t xml:space="preserve">This section can be used for </t>
        </r>
        <r>
          <rPr>
            <sz val="10"/>
            <color indexed="10"/>
            <rFont val="Tahoma"/>
            <family val="2"/>
          </rPr>
          <t>computations or notes.</t>
        </r>
      </text>
    </comment>
    <comment ref="G29" authorId="1">
      <text>
        <r>
          <rPr>
            <sz val="10"/>
            <rFont val="Tahoma"/>
            <family val="2"/>
          </rPr>
          <t xml:space="preserve">  </t>
        </r>
        <r>
          <rPr>
            <sz val="10"/>
            <color indexed="10"/>
            <rFont val="Tahoma"/>
            <family val="2"/>
          </rPr>
          <t xml:space="preserve">These are the results that I would report if I was working with the SE% you entered into the yellow cell (D30).
               </t>
        </r>
        <r>
          <rPr>
            <b/>
            <sz val="10"/>
            <color indexed="10"/>
            <rFont val="Tahoma"/>
            <family val="2"/>
          </rPr>
          <t xml:space="preserve">  I would say:</t>
        </r>
        <r>
          <rPr>
            <sz val="10"/>
            <color indexed="12"/>
            <rFont val="Tahoma"/>
            <family val="2"/>
          </rPr>
          <t xml:space="preserve">
The current average has :
</t>
        </r>
        <r>
          <rPr>
            <u val="single"/>
            <sz val="10"/>
            <color indexed="12"/>
            <rFont val="Tahoma"/>
            <family val="2"/>
          </rPr>
          <t xml:space="preserve">about a </t>
        </r>
        <r>
          <rPr>
            <u val="single"/>
            <sz val="10"/>
            <color indexed="10"/>
            <rFont val="Tahoma"/>
            <family val="2"/>
          </rPr>
          <t>5%</t>
        </r>
        <r>
          <rPr>
            <u val="single"/>
            <sz val="10"/>
            <color indexed="12"/>
            <rFont val="Tahoma"/>
            <family val="2"/>
          </rPr>
          <t xml:space="preserve"> chance</t>
        </r>
        <r>
          <rPr>
            <sz val="10"/>
            <color indexed="12"/>
            <rFont val="Tahoma"/>
            <family val="2"/>
          </rPr>
          <t xml:space="preserve"> of being :
    </t>
        </r>
        <r>
          <rPr>
            <u val="single"/>
            <sz val="10"/>
            <color indexed="12"/>
            <rFont val="Tahoma"/>
            <family val="2"/>
          </rPr>
          <t>closer than</t>
        </r>
        <r>
          <rPr>
            <sz val="10"/>
            <color indexed="12"/>
            <rFont val="Tahoma"/>
            <family val="2"/>
          </rPr>
          <t xml:space="preserve"> {</t>
        </r>
        <r>
          <rPr>
            <i/>
            <sz val="10"/>
            <color indexed="12"/>
            <rFont val="Tahoma"/>
            <family val="2"/>
          </rPr>
          <t>enter the 5% answer</t>
        </r>
        <r>
          <rPr>
            <sz val="10"/>
            <color indexed="12"/>
            <rFont val="Tahoma"/>
            <family val="2"/>
          </rPr>
          <t xml:space="preserve">} or 
    </t>
        </r>
        <r>
          <rPr>
            <u val="single"/>
            <sz val="10"/>
            <color indexed="12"/>
            <rFont val="Tahoma"/>
            <family val="2"/>
          </rPr>
          <t>further away</t>
        </r>
        <r>
          <rPr>
            <sz val="10"/>
            <color indexed="12"/>
            <rFont val="Tahoma"/>
            <family val="2"/>
          </rPr>
          <t xml:space="preserve"> than {</t>
        </r>
        <r>
          <rPr>
            <i/>
            <sz val="10"/>
            <color indexed="12"/>
            <rFont val="Tahoma"/>
            <family val="2"/>
          </rPr>
          <t>enter the 95% answer</t>
        </r>
        <r>
          <rPr>
            <sz val="10"/>
            <color indexed="12"/>
            <rFont val="Tahoma"/>
            <family val="2"/>
          </rPr>
          <t xml:space="preserve">} 
         from the final answer, 
has </t>
        </r>
        <r>
          <rPr>
            <u val="single"/>
            <sz val="10"/>
            <color indexed="10"/>
            <rFont val="Tahoma"/>
            <family val="2"/>
          </rPr>
          <t>about an equal chance</t>
        </r>
        <r>
          <rPr>
            <sz val="10"/>
            <color indexed="12"/>
            <rFont val="Tahoma"/>
            <family val="2"/>
          </rPr>
          <t xml:space="preserve"> of being closer or further away than {</t>
        </r>
        <r>
          <rPr>
            <i/>
            <sz val="10"/>
            <color indexed="12"/>
            <rFont val="Tahoma"/>
            <family val="2"/>
          </rPr>
          <t>enter the 50% answer</t>
        </r>
        <r>
          <rPr>
            <sz val="10"/>
            <color indexed="12"/>
            <rFont val="Tahoma"/>
            <family val="2"/>
          </rPr>
          <t xml:space="preserve">} from the final answer.  
  The "final answer" being the answer that you would get </t>
        </r>
        <r>
          <rPr>
            <i/>
            <sz val="10"/>
            <color indexed="12"/>
            <rFont val="Tahoma"/>
            <family val="2"/>
          </rPr>
          <t>if we went on sampling this way forever</t>
        </r>
        <r>
          <rPr>
            <sz val="10"/>
            <color indexed="12"/>
            <rFont val="Tahoma"/>
            <family val="2"/>
          </rPr>
          <t xml:space="preserve"> (and is the </t>
        </r>
        <r>
          <rPr>
            <u val="single"/>
            <sz val="10"/>
            <color indexed="12"/>
            <rFont val="Tahoma"/>
            <family val="2"/>
          </rPr>
          <t>correct</t>
        </r>
        <r>
          <rPr>
            <sz val="10"/>
            <color indexed="12"/>
            <rFont val="Tahoma"/>
            <family val="2"/>
          </rPr>
          <t xml:space="preserve"> answer only if there is no bias in the process).</t>
        </r>
        <r>
          <rPr>
            <sz val="10"/>
            <rFont val="Tahoma"/>
            <family val="2"/>
          </rPr>
          <t xml:space="preserve">
</t>
        </r>
      </text>
    </comment>
    <comment ref="J29" authorId="1">
      <text>
        <r>
          <rPr>
            <sz val="10"/>
            <rFont val="Tahoma"/>
            <family val="2"/>
          </rPr>
          <t xml:space="preserve">  In case you want to see what the standard set of statements would be with the data from part 1, the </t>
        </r>
        <r>
          <rPr>
            <sz val="10"/>
            <color indexed="10"/>
            <rFont val="Tahoma"/>
            <family val="2"/>
          </rPr>
          <t>Optimal Section,</t>
        </r>
        <r>
          <rPr>
            <sz val="10"/>
            <rFont val="Tahoma"/>
            <family val="2"/>
          </rPr>
          <t xml:space="preserve"> these are reproduced for your convenience.
  </t>
        </r>
        <r>
          <rPr>
            <sz val="10"/>
            <color indexed="10"/>
            <rFont val="Tahoma"/>
            <family val="2"/>
          </rPr>
          <t>Just fill them into cell E30</t>
        </r>
        <r>
          <rPr>
            <sz val="10"/>
            <rFont val="Tahoma"/>
            <family val="2"/>
          </rPr>
          <t xml:space="preserve"> if you are interested in the results for the total or the individual parts.</t>
        </r>
      </text>
    </comment>
    <comment ref="G31" authorId="1">
      <text>
        <r>
          <rPr>
            <sz val="10"/>
            <rFont val="Tahoma"/>
            <family val="2"/>
          </rPr>
          <t xml:space="preserve">  With the SE% from cell E30, and the sample size you entered, </t>
        </r>
        <r>
          <rPr>
            <sz val="10"/>
            <color indexed="10"/>
            <rFont val="Tahoma"/>
            <family val="2"/>
          </rPr>
          <t xml:space="preserve">there is about a 5% chance that you are actually </t>
        </r>
        <r>
          <rPr>
            <u val="single"/>
            <sz val="10"/>
            <color indexed="10"/>
            <rFont val="Tahoma"/>
            <family val="2"/>
          </rPr>
          <t>closer</t>
        </r>
        <r>
          <rPr>
            <sz val="10"/>
            <color indexed="10"/>
            <rFont val="Tahoma"/>
            <family val="2"/>
          </rPr>
          <t xml:space="preserve"> than this</t>
        </r>
        <r>
          <rPr>
            <sz val="10"/>
            <rFont val="Tahoma"/>
            <family val="2"/>
          </rPr>
          <t xml:space="preserve"> to the final answer.  </t>
        </r>
      </text>
    </comment>
    <comment ref="G32" authorId="1">
      <text>
        <r>
          <rPr>
            <sz val="10"/>
            <rFont val="Tahoma"/>
            <family val="2"/>
          </rPr>
          <t xml:space="preserve">   With the SE% from Cell E30 and the sample size you entered, there is about a </t>
        </r>
        <r>
          <rPr>
            <sz val="10"/>
            <color indexed="10"/>
            <rFont val="Tahoma"/>
            <family val="2"/>
          </rPr>
          <t>50% chance</t>
        </r>
        <r>
          <rPr>
            <sz val="10"/>
            <rFont val="Tahoma"/>
            <family val="2"/>
          </rPr>
          <t xml:space="preserve"> that the </t>
        </r>
        <r>
          <rPr>
            <sz val="10"/>
            <color indexed="10"/>
            <rFont val="Tahoma"/>
            <family val="2"/>
          </rPr>
          <t>final answer is further away or closer</t>
        </r>
        <r>
          <rPr>
            <sz val="10"/>
            <rFont val="Tahoma"/>
            <family val="2"/>
          </rPr>
          <t xml:space="preserve"> than this percentage.
  This has historically been called the </t>
        </r>
        <r>
          <rPr>
            <sz val="10"/>
            <color indexed="10"/>
            <rFont val="Tahoma"/>
            <family val="2"/>
          </rPr>
          <t>"probable error".</t>
        </r>
      </text>
    </comment>
    <comment ref="G33" authorId="1">
      <text>
        <r>
          <rPr>
            <sz val="10"/>
            <rFont val="Tahoma"/>
            <family val="2"/>
          </rPr>
          <t xml:space="preserve">  With the SE% from Cell E30 and the sample size you entered, </t>
        </r>
        <r>
          <rPr>
            <sz val="10"/>
            <color indexed="10"/>
            <rFont val="Tahoma"/>
            <family val="2"/>
          </rPr>
          <t xml:space="preserve">there is about a 5% chance that you are actually </t>
        </r>
        <r>
          <rPr>
            <u val="double"/>
            <sz val="10"/>
            <color indexed="10"/>
            <rFont val="Tahoma"/>
            <family val="2"/>
          </rPr>
          <t>further</t>
        </r>
        <r>
          <rPr>
            <u val="single"/>
            <sz val="10"/>
            <color indexed="10"/>
            <rFont val="Tahoma"/>
            <family val="2"/>
          </rPr>
          <t xml:space="preserve"> than this</t>
        </r>
        <r>
          <rPr>
            <sz val="10"/>
            <rFont val="Tahoma"/>
            <family val="2"/>
          </rPr>
          <t xml:space="preserve"> from the final answer.
  </t>
        </r>
      </text>
    </comment>
    <comment ref="J30" authorId="1">
      <text>
        <r>
          <rPr>
            <sz val="10"/>
            <rFont val="Tahoma"/>
            <family val="2"/>
          </rPr>
          <t xml:space="preserve">  This a </t>
        </r>
        <r>
          <rPr>
            <sz val="10"/>
            <color indexed="10"/>
            <rFont val="Tahoma"/>
            <family val="2"/>
          </rPr>
          <t>copy of the</t>
        </r>
        <r>
          <rPr>
            <sz val="10"/>
            <rFont val="Tahoma"/>
            <family val="2"/>
          </rPr>
          <t xml:space="preserve"> </t>
        </r>
        <r>
          <rPr>
            <sz val="10"/>
            <color indexed="10"/>
            <rFont val="Tahoma"/>
            <family val="2"/>
          </rPr>
          <t xml:space="preserve">SE% for Basal area  from section #1 </t>
        </r>
        <r>
          <rPr>
            <sz val="10"/>
            <rFont val="Tahoma"/>
            <family val="2"/>
          </rPr>
          <t xml:space="preserve">(Optimal calculation of TC vs *BAR).  
   SE% for </t>
        </r>
        <r>
          <rPr>
            <i/>
            <sz val="10"/>
            <rFont val="Tahoma"/>
            <family val="2"/>
          </rPr>
          <t>Basal Area</t>
        </r>
        <r>
          <rPr>
            <sz val="10"/>
            <rFont val="Tahoma"/>
            <family val="2"/>
          </rPr>
          <t xml:space="preserve"> and </t>
        </r>
        <r>
          <rPr>
            <i/>
            <sz val="10"/>
            <rFont val="Tahoma"/>
            <family val="2"/>
          </rPr>
          <t>Tree Count</t>
        </r>
        <r>
          <rPr>
            <sz val="10"/>
            <rFont val="Tahoma"/>
            <family val="2"/>
          </rPr>
          <t xml:space="preserve"> are, of course, the same.</t>
        </r>
      </text>
    </comment>
    <comment ref="J31" authorId="1">
      <text>
        <r>
          <rPr>
            <sz val="10"/>
            <rFont val="Tahoma"/>
            <family val="2"/>
          </rPr>
          <t xml:space="preserve">  This a </t>
        </r>
        <r>
          <rPr>
            <u val="single"/>
            <sz val="10"/>
            <color indexed="10"/>
            <rFont val="Tahoma"/>
            <family val="2"/>
          </rPr>
          <t>copy</t>
        </r>
        <r>
          <rPr>
            <sz val="10"/>
            <color indexed="10"/>
            <rFont val="Tahoma"/>
            <family val="2"/>
          </rPr>
          <t xml:space="preserve"> </t>
        </r>
        <r>
          <rPr>
            <sz val="10"/>
            <color indexed="18"/>
            <rFont val="Tahoma"/>
            <family val="2"/>
          </rPr>
          <t>of the</t>
        </r>
        <r>
          <rPr>
            <sz val="10"/>
            <color indexed="10"/>
            <rFont val="Tahoma"/>
            <family val="2"/>
          </rPr>
          <t xml:space="preserve"> SE% for </t>
        </r>
        <r>
          <rPr>
            <u val="single"/>
            <sz val="10"/>
            <color indexed="10"/>
            <rFont val="Tahoma"/>
            <family val="2"/>
          </rPr>
          <t>*BAR</t>
        </r>
        <r>
          <rPr>
            <sz val="10"/>
            <color indexed="10"/>
            <rFont val="Tahoma"/>
            <family val="2"/>
          </rPr>
          <t xml:space="preserve"> </t>
        </r>
        <r>
          <rPr>
            <sz val="10"/>
            <color indexed="18"/>
            <rFont val="Tahoma"/>
            <family val="2"/>
          </rPr>
          <t xml:space="preserve">from the section on </t>
        </r>
        <r>
          <rPr>
            <sz val="10"/>
            <rFont val="Tahoma"/>
            <family val="2"/>
          </rPr>
          <t>optimal sampling.</t>
        </r>
      </text>
    </comment>
    <comment ref="J32" authorId="1">
      <text>
        <r>
          <rPr>
            <sz val="10"/>
            <rFont val="Tahoma"/>
            <family val="2"/>
          </rPr>
          <t xml:space="preserve">  This a </t>
        </r>
        <r>
          <rPr>
            <sz val="10"/>
            <color indexed="10"/>
            <rFont val="Tahoma"/>
            <family val="2"/>
          </rPr>
          <t xml:space="preserve">copy of the </t>
        </r>
        <r>
          <rPr>
            <u val="single"/>
            <sz val="10"/>
            <color indexed="10"/>
            <rFont val="Tahoma"/>
            <family val="2"/>
          </rPr>
          <t>combined</t>
        </r>
        <r>
          <rPr>
            <sz val="10"/>
            <color indexed="10"/>
            <rFont val="Tahoma"/>
            <family val="2"/>
          </rPr>
          <t xml:space="preserve"> SE% from section #1. </t>
        </r>
        <r>
          <rPr>
            <sz val="10"/>
            <rFont val="Tahoma"/>
            <family val="2"/>
          </rPr>
          <t>(Optimal calculation of TC vs *BAR)</t>
        </r>
      </text>
    </comment>
    <comment ref="C38" authorId="1">
      <text>
        <r>
          <rPr>
            <sz val="10"/>
            <rFont val="Tahoma"/>
            <family val="2"/>
          </rPr>
          <t xml:space="preserve">Enter the </t>
        </r>
        <r>
          <rPr>
            <sz val="10"/>
            <color indexed="10"/>
            <rFont val="Tahoma"/>
            <family val="2"/>
          </rPr>
          <t>width of the target</t>
        </r>
        <r>
          <rPr>
            <sz val="10"/>
            <rFont val="Tahoma"/>
            <family val="2"/>
          </rPr>
          <t xml:space="preserve"> 
(in inches).</t>
        </r>
      </text>
    </comment>
    <comment ref="C39" authorId="1">
      <text>
        <r>
          <rPr>
            <sz val="10"/>
            <rFont val="Tahoma"/>
            <family val="2"/>
          </rPr>
          <t xml:space="preserve">Enter the </t>
        </r>
        <r>
          <rPr>
            <sz val="10"/>
            <color indexed="10"/>
            <rFont val="Tahoma"/>
            <family val="2"/>
          </rPr>
          <t>distance to the target.</t>
        </r>
        <r>
          <rPr>
            <sz val="10"/>
            <rFont val="Tahoma"/>
            <family val="2"/>
          </rPr>
          <t xml:space="preserve"> 
(in the feet).</t>
        </r>
      </text>
    </comment>
    <comment ref="C40" authorId="1">
      <text>
        <r>
          <rPr>
            <sz val="10"/>
            <rFont val="Tahoma"/>
            <family val="2"/>
          </rPr>
          <t xml:space="preserve">  Enter a </t>
        </r>
        <r>
          <rPr>
            <sz val="10"/>
            <color indexed="10"/>
            <rFont val="Tahoma"/>
            <family val="2"/>
          </rPr>
          <t>1</t>
        </r>
        <r>
          <rPr>
            <sz val="10"/>
            <rFont val="Tahoma"/>
            <family val="2"/>
          </rPr>
          <t xml:space="preserve"> if you are using a </t>
        </r>
        <r>
          <rPr>
            <sz val="10"/>
            <color indexed="10"/>
            <rFont val="Tahoma"/>
            <family val="2"/>
          </rPr>
          <t>flat</t>
        </r>
        <r>
          <rPr>
            <sz val="10"/>
            <rFont val="Tahoma"/>
            <family val="2"/>
          </rPr>
          <t xml:space="preserve"> target like a sheet of paper, and a </t>
        </r>
        <r>
          <rPr>
            <sz val="10"/>
            <color indexed="10"/>
            <rFont val="Tahoma"/>
            <family val="2"/>
          </rPr>
          <t>0</t>
        </r>
        <r>
          <rPr>
            <sz val="10"/>
            <rFont val="Tahoma"/>
            <family val="2"/>
          </rPr>
          <t xml:space="preserve"> if you are using a </t>
        </r>
        <r>
          <rPr>
            <sz val="10"/>
            <color indexed="10"/>
            <rFont val="Tahoma"/>
            <family val="2"/>
          </rPr>
          <t>cylinder</t>
        </r>
        <r>
          <rPr>
            <sz val="10"/>
            <rFont val="Tahoma"/>
            <family val="2"/>
          </rPr>
          <t xml:space="preserve"> as the target (easy to remember because a zero looks like a cylinder cross-section).
  This is a small correction, but you might as well use it. 
It matters with very large BAFs.</t>
        </r>
      </text>
    </comment>
    <comment ref="F38" authorId="1">
      <text>
        <r>
          <rPr>
            <sz val="10"/>
            <rFont val="Tahoma"/>
            <family val="2"/>
          </rPr>
          <t xml:space="preserve">  This is the </t>
        </r>
        <r>
          <rPr>
            <sz val="10"/>
            <color indexed="10"/>
            <rFont val="Tahoma"/>
            <family val="2"/>
          </rPr>
          <t xml:space="preserve">Calculated </t>
        </r>
        <r>
          <rPr>
            <u val="single"/>
            <sz val="10"/>
            <color indexed="10"/>
            <rFont val="Tahoma"/>
            <family val="2"/>
          </rPr>
          <t>English</t>
        </r>
        <r>
          <rPr>
            <sz val="10"/>
            <color indexed="10"/>
            <rFont val="Tahoma"/>
            <family val="2"/>
          </rPr>
          <t xml:space="preserve"> BAF</t>
        </r>
        <r>
          <rPr>
            <sz val="10"/>
            <rFont val="Tahoma"/>
            <family val="2"/>
          </rPr>
          <t xml:space="preserve"> of that target at that distance, in </t>
        </r>
        <r>
          <rPr>
            <sz val="10"/>
            <color indexed="10"/>
            <rFont val="Tahoma"/>
            <family val="2"/>
          </rPr>
          <t>square feet per acre.</t>
        </r>
        <r>
          <rPr>
            <sz val="10"/>
            <rFont val="Tahoma"/>
            <family val="2"/>
          </rPr>
          <t xml:space="preserve">
  </t>
        </r>
        <r>
          <rPr>
            <sz val="10"/>
            <color indexed="14"/>
            <rFont val="Tahoma"/>
            <family val="2"/>
          </rPr>
          <t xml:space="preserve">The actual BAF should be defined by the Plot Radius Factor (PRF) that is used to check borderline trees (see sub-section at lower left of this tan colored section). </t>
        </r>
        <r>
          <rPr>
            <sz val="10"/>
            <rFont val="Tahoma"/>
            <family val="2"/>
          </rPr>
          <t xml:space="preserve"> </t>
        </r>
        <r>
          <rPr>
            <i/>
            <sz val="10"/>
            <rFont val="Tahoma"/>
            <family val="2"/>
          </rPr>
          <t>If you do not check borderline trees,</t>
        </r>
        <r>
          <rPr>
            <sz val="10"/>
            <rFont val="Tahoma"/>
            <family val="2"/>
          </rPr>
          <t xml:space="preserve"> the BAF is this calculated one, and it depends on the person using the angle guage, as well as the instrument.</t>
        </r>
      </text>
    </comment>
    <comment ref="H20" authorId="1">
      <text>
        <r>
          <rPr>
            <sz val="10"/>
            <color indexed="18"/>
            <rFont val="Tahoma"/>
            <family val="2"/>
          </rPr>
          <t xml:space="preserve"> 
  I have attempted to provide both metric and English measurements wherever possible.
  If you </t>
        </r>
        <r>
          <rPr>
            <u val="single"/>
            <sz val="10"/>
            <color indexed="18"/>
            <rFont val="Tahoma"/>
            <family val="2"/>
          </rPr>
          <t>never</t>
        </r>
        <r>
          <rPr>
            <sz val="10"/>
            <color indexed="18"/>
            <rFont val="Tahoma"/>
            <family val="2"/>
          </rPr>
          <t xml:space="preserve"> use metric (or english) just unprotect the worksheet and blank out the choices and results </t>
        </r>
        <r>
          <rPr>
            <sz val="10"/>
            <color indexed="10"/>
            <rFont val="Tahoma"/>
            <family val="2"/>
          </rPr>
          <t xml:space="preserve">(or, </t>
        </r>
        <r>
          <rPr>
            <u val="single"/>
            <sz val="10"/>
            <color indexed="10"/>
            <rFont val="Tahoma"/>
            <family val="2"/>
          </rPr>
          <t>better yet,</t>
        </r>
        <r>
          <rPr>
            <sz val="10"/>
            <color indexed="10"/>
            <rFont val="Tahoma"/>
            <family val="2"/>
          </rPr>
          <t xml:space="preserve"> make the text the same color as the background, which will keep it in case you need it later).
</t>
        </r>
      </text>
    </comment>
    <comment ref="B43" authorId="1">
      <text>
        <r>
          <rPr>
            <sz val="10"/>
            <rFont val="Tahoma"/>
            <family val="2"/>
          </rPr>
          <t xml:space="preserve">  If you want to compute the BAF from a particular Plot Radius Factor, this section will do that.   </t>
        </r>
        <r>
          <rPr>
            <sz val="10"/>
            <color indexed="10"/>
            <rFont val="Tahoma"/>
            <family val="2"/>
          </rPr>
          <t>Enter the Plot Radius Factor here.</t>
        </r>
        <r>
          <rPr>
            <sz val="10"/>
            <rFont val="Tahoma"/>
            <family val="2"/>
          </rPr>
          <t xml:space="preserve">
</t>
        </r>
        <r>
          <rPr>
            <sz val="10"/>
            <color indexed="10"/>
            <rFont val="Tahoma"/>
            <family val="2"/>
          </rPr>
          <t>The way you check borderline trees determines the exact BAF that should be used in compilations.</t>
        </r>
        <r>
          <rPr>
            <sz val="10"/>
            <rFont val="Tahoma"/>
            <family val="2"/>
          </rPr>
          <t xml:space="preserve">   If you check them with the Plot Radius Factor, using a particular number of digits, this is how you should compute the BAF for compiling the data.
  If you determine borderline trees by eye, then you should calibrate the prism for yourself, since everyone views "borderline" a bit differently.  
</t>
        </r>
      </text>
    </comment>
    <comment ref="D44" authorId="1">
      <text>
        <r>
          <rPr>
            <sz val="10"/>
            <rFont val="Tahoma"/>
            <family val="2"/>
          </rPr>
          <t xml:space="preserve">  This is the </t>
        </r>
        <r>
          <rPr>
            <u val="single"/>
            <sz val="10"/>
            <rFont val="Tahoma"/>
            <family val="2"/>
          </rPr>
          <t>English</t>
        </r>
        <r>
          <rPr>
            <sz val="10"/>
            <rFont val="Tahoma"/>
            <family val="2"/>
          </rPr>
          <t xml:space="preserve"> </t>
        </r>
        <r>
          <rPr>
            <sz val="10"/>
            <color indexed="10"/>
            <rFont val="Tahoma"/>
            <family val="2"/>
          </rPr>
          <t>BAF</t>
        </r>
        <r>
          <rPr>
            <sz val="10"/>
            <rFont val="Tahoma"/>
            <family val="2"/>
          </rPr>
          <t xml:space="preserve"> for a Plot Radius Factor (cell B42) measured to the </t>
        </r>
        <r>
          <rPr>
            <sz val="10"/>
            <color indexed="10"/>
            <rFont val="Tahoma"/>
            <family val="2"/>
          </rPr>
          <t>center</t>
        </r>
        <r>
          <rPr>
            <sz val="10"/>
            <rFont val="Tahoma"/>
            <family val="2"/>
          </rPr>
          <t xml:space="preserve"> of a tree in </t>
        </r>
        <r>
          <rPr>
            <sz val="10"/>
            <color indexed="10"/>
            <rFont val="Tahoma"/>
            <family val="2"/>
          </rPr>
          <t>Square feet/acre.</t>
        </r>
      </text>
    </comment>
    <comment ref="E44" authorId="1">
      <text>
        <r>
          <rPr>
            <sz val="10"/>
            <rFont val="Tahoma"/>
            <family val="2"/>
          </rPr>
          <t xml:space="preserve">  This is the </t>
        </r>
        <r>
          <rPr>
            <u val="single"/>
            <sz val="10"/>
            <rFont val="Tahoma"/>
            <family val="2"/>
          </rPr>
          <t>English</t>
        </r>
        <r>
          <rPr>
            <sz val="10"/>
            <rFont val="Tahoma"/>
            <family val="2"/>
          </rPr>
          <t xml:space="preserve"> </t>
        </r>
        <r>
          <rPr>
            <sz val="10"/>
            <color indexed="10"/>
            <rFont val="Tahoma"/>
            <family val="2"/>
          </rPr>
          <t>BAF</t>
        </r>
        <r>
          <rPr>
            <sz val="10"/>
            <rFont val="Tahoma"/>
            <family val="2"/>
          </rPr>
          <t xml:space="preserve"> for a Plot Radius Factor (cell B42) measured to the </t>
        </r>
        <r>
          <rPr>
            <sz val="10"/>
            <color indexed="10"/>
            <rFont val="Tahoma"/>
            <family val="2"/>
          </rPr>
          <t>FACE</t>
        </r>
        <r>
          <rPr>
            <sz val="10"/>
            <rFont val="Tahoma"/>
            <family val="2"/>
          </rPr>
          <t xml:space="preserve"> of a tree in </t>
        </r>
        <r>
          <rPr>
            <sz val="10"/>
            <color indexed="10"/>
            <rFont val="Tahoma"/>
            <family val="2"/>
          </rPr>
          <t>Square feet/acre.</t>
        </r>
      </text>
    </comment>
    <comment ref="H36" authorId="1">
      <text>
        <r>
          <rPr>
            <sz val="10"/>
            <rFont val="Tahoma"/>
            <family val="2"/>
          </rPr>
          <t xml:space="preserve">  </t>
        </r>
        <r>
          <rPr>
            <sz val="10"/>
            <color indexed="10"/>
            <rFont val="Tahoma"/>
            <family val="2"/>
          </rPr>
          <t xml:space="preserve">Put in convenient </t>
        </r>
        <r>
          <rPr>
            <u val="single"/>
            <sz val="10"/>
            <color indexed="10"/>
            <rFont val="Tahoma"/>
            <family val="2"/>
          </rPr>
          <t>English</t>
        </r>
        <r>
          <rPr>
            <sz val="10"/>
            <color indexed="10"/>
            <rFont val="Tahoma"/>
            <family val="2"/>
          </rPr>
          <t xml:space="preserve"> BAFs</t>
        </r>
        <r>
          <rPr>
            <sz val="10"/>
            <rFont val="Tahoma"/>
            <family val="2"/>
          </rPr>
          <t xml:space="preserve">. (English BAFs are just 4.356 * metric BAFs).  Then you can calculate distances in feet from a standard 8.5" sheet of paper on the wall to </t>
        </r>
        <r>
          <rPr>
            <sz val="10"/>
            <color indexed="10"/>
            <rFont val="Tahoma"/>
            <family val="2"/>
          </rPr>
          <t>calibrate your thumb</t>
        </r>
        <r>
          <rPr>
            <sz val="10"/>
            <rFont val="Tahoma"/>
            <family val="2"/>
          </rPr>
          <t xml:space="preserve"> for rough work. 
  If you usually use a particular prism, stand at that distance and find something to use to create that angle for approximate work (the width of 2 fingers, or your increment bore, for instance).  With your </t>
        </r>
        <r>
          <rPr>
            <sz val="10"/>
            <color indexed="10"/>
            <rFont val="Tahoma"/>
            <family val="2"/>
          </rPr>
          <t>thumb</t>
        </r>
        <r>
          <rPr>
            <sz val="10"/>
            <rFont val="Tahoma"/>
            <family val="2"/>
          </rPr>
          <t xml:space="preserve"> the measured distance is to your </t>
        </r>
        <r>
          <rPr>
            <sz val="10"/>
            <color indexed="10"/>
            <rFont val="Tahoma"/>
            <family val="2"/>
          </rPr>
          <t>EYE,</t>
        </r>
        <r>
          <rPr>
            <sz val="10"/>
            <rFont val="Tahoma"/>
            <family val="2"/>
          </rPr>
          <t xml:space="preserve"> since that is </t>
        </r>
        <r>
          <rPr>
            <b/>
            <sz val="10"/>
            <color indexed="12"/>
            <rFont val="Tahoma"/>
            <family val="2"/>
          </rPr>
          <t>the vertex of the angle</t>
        </r>
        <r>
          <rPr>
            <sz val="10"/>
            <rFont val="Tahoma"/>
            <family val="2"/>
          </rPr>
          <t xml:space="preserve"> being created.  
  With </t>
        </r>
        <r>
          <rPr>
            <sz val="10"/>
            <color indexed="10"/>
            <rFont val="Tahoma"/>
            <family val="2"/>
          </rPr>
          <t>prisms,</t>
        </r>
        <r>
          <rPr>
            <sz val="10"/>
            <rFont val="Tahoma"/>
            <family val="2"/>
          </rPr>
          <t xml:space="preserve"> the angle vertex occurs at the </t>
        </r>
        <r>
          <rPr>
            <sz val="10"/>
            <color indexed="10"/>
            <rFont val="Tahoma"/>
            <family val="2"/>
          </rPr>
          <t>prism.</t>
        </r>
        <r>
          <rPr>
            <sz val="10"/>
            <rFont val="Tahoma"/>
            <family val="2"/>
          </rPr>
          <t xml:space="preserve">  With a </t>
        </r>
        <r>
          <rPr>
            <sz val="10"/>
            <color indexed="10"/>
            <rFont val="Tahoma"/>
            <family val="2"/>
          </rPr>
          <t>Relascope,</t>
        </r>
        <r>
          <rPr>
            <sz val="10"/>
            <rFont val="Tahoma"/>
            <family val="2"/>
          </rPr>
          <t xml:space="preserve"> it is roughly at your </t>
        </r>
        <r>
          <rPr>
            <sz val="10"/>
            <color indexed="10"/>
            <rFont val="Tahoma"/>
            <family val="2"/>
          </rPr>
          <t>eye</t>
        </r>
        <r>
          <rPr>
            <sz val="10"/>
            <rFont val="Tahoma"/>
            <family val="2"/>
          </rPr>
          <t xml:space="preserve"> again.  </t>
        </r>
      </text>
    </comment>
    <comment ref="H41" authorId="1">
      <text>
        <r>
          <rPr>
            <sz val="10"/>
            <rFont val="Tahoma"/>
            <family val="2"/>
          </rPr>
          <t xml:space="preserve">  This is the </t>
        </r>
        <r>
          <rPr>
            <u val="single"/>
            <sz val="10"/>
            <rFont val="Tahoma"/>
            <family val="2"/>
          </rPr>
          <t>English</t>
        </r>
        <r>
          <rPr>
            <sz val="10"/>
            <rFont val="Tahoma"/>
            <family val="2"/>
          </rPr>
          <t xml:space="preserve"> </t>
        </r>
        <r>
          <rPr>
            <sz val="10"/>
            <color indexed="10"/>
            <rFont val="Tahoma"/>
            <family val="2"/>
          </rPr>
          <t>Plot Radius Factor</t>
        </r>
        <r>
          <rPr>
            <sz val="10"/>
            <rFont val="Tahoma"/>
            <family val="2"/>
          </rPr>
          <t xml:space="preserve"> for the BAF in cell F38, </t>
        </r>
        <r>
          <rPr>
            <sz val="10"/>
            <color indexed="10"/>
            <rFont val="Tahoma"/>
            <family val="2"/>
          </rPr>
          <t>in Feet per inch</t>
        </r>
        <r>
          <rPr>
            <sz val="10"/>
            <rFont val="Tahoma"/>
            <family val="2"/>
          </rPr>
          <t xml:space="preserve"> of DBH to the </t>
        </r>
        <r>
          <rPr>
            <b/>
            <sz val="10"/>
            <rFont val="Tahoma"/>
            <family val="2"/>
          </rPr>
          <t>CENTER</t>
        </r>
        <r>
          <rPr>
            <sz val="10"/>
            <rFont val="Tahoma"/>
            <family val="2"/>
          </rPr>
          <t xml:space="preserve"> of the tree.
</t>
        </r>
      </text>
    </comment>
    <comment ref="B77" authorId="1">
      <text>
        <r>
          <rPr>
            <sz val="10"/>
            <rFont val="Tahoma"/>
            <family val="2"/>
          </rPr>
          <t xml:space="preserve">  In some compilation programs you do not get the CVs needed for proper cruise planning.  If you get the </t>
        </r>
        <r>
          <rPr>
            <sz val="10"/>
            <color indexed="10"/>
            <rFont val="Tahoma"/>
            <family val="2"/>
          </rPr>
          <t>SE% for the basal area</t>
        </r>
        <r>
          <rPr>
            <sz val="10"/>
            <rFont val="Tahoma"/>
            <family val="2"/>
          </rPr>
          <t xml:space="preserve"> </t>
        </r>
        <r>
          <rPr>
            <u val="single"/>
            <sz val="10"/>
            <rFont val="Tahoma"/>
            <family val="2"/>
          </rPr>
          <t>and</t>
        </r>
        <r>
          <rPr>
            <sz val="10"/>
            <rFont val="Tahoma"/>
            <family val="2"/>
          </rPr>
          <t xml:space="preserve"> the </t>
        </r>
        <r>
          <rPr>
            <sz val="10"/>
            <color indexed="10"/>
            <rFont val="Tahoma"/>
            <family val="2"/>
          </rPr>
          <t>total SE%,</t>
        </r>
        <r>
          <rPr>
            <sz val="10"/>
            <color indexed="18"/>
            <rFont val="Tahoma"/>
            <family val="2"/>
          </rPr>
          <t xml:space="preserve"> the CV for the *BAR can be </t>
        </r>
        <r>
          <rPr>
            <u val="single"/>
            <sz val="10"/>
            <color indexed="18"/>
            <rFont val="Tahoma"/>
            <family val="2"/>
          </rPr>
          <t>roughly</t>
        </r>
        <r>
          <rPr>
            <sz val="10"/>
            <color indexed="18"/>
            <rFont val="Tahoma"/>
            <family val="2"/>
          </rPr>
          <t xml:space="preserve"> approximated using this section.</t>
        </r>
      </text>
    </comment>
    <comment ref="B78" authorId="1">
      <text>
        <r>
          <rPr>
            <sz val="10"/>
            <color indexed="10"/>
            <rFont val="Tahoma"/>
            <family val="2"/>
          </rPr>
          <t xml:space="preserve">  Enter the SE%</t>
        </r>
        <r>
          <rPr>
            <sz val="10"/>
            <rFont val="Tahoma"/>
            <family val="2"/>
          </rPr>
          <t xml:space="preserve"> for the Basal Area from the compilation results.</t>
        </r>
      </text>
    </comment>
    <comment ref="B80" authorId="1">
      <text>
        <r>
          <rPr>
            <sz val="10"/>
            <rFont val="Tahoma"/>
            <family val="2"/>
          </rPr>
          <t xml:space="preserve">  </t>
        </r>
        <r>
          <rPr>
            <sz val="10"/>
            <color indexed="10"/>
            <rFont val="Tahoma"/>
            <family val="2"/>
          </rPr>
          <t>Enter the SE% for the Total volume (or total value)</t>
        </r>
        <r>
          <rPr>
            <sz val="10"/>
            <rFont val="Tahoma"/>
            <family val="2"/>
          </rPr>
          <t xml:space="preserve">  from the compilation results.  
  If you enter SE% for </t>
        </r>
        <r>
          <rPr>
            <u val="single"/>
            <sz val="10"/>
            <rFont val="Tahoma"/>
            <family val="2"/>
          </rPr>
          <t>volume,</t>
        </r>
        <r>
          <rPr>
            <sz val="10"/>
            <rFont val="Tahoma"/>
            <family val="2"/>
          </rPr>
          <t xml:space="preserve"> the </t>
        </r>
        <r>
          <rPr>
            <sz val="10"/>
            <color indexed="10"/>
            <rFont val="Tahoma"/>
            <family val="2"/>
          </rPr>
          <t>CV of the VBAR</t>
        </r>
        <r>
          <rPr>
            <sz val="10"/>
            <rFont val="Tahoma"/>
            <family val="2"/>
          </rPr>
          <t xml:space="preserve"> will be estimated (net or gross).
  If you enter SE% for </t>
        </r>
        <r>
          <rPr>
            <u val="single"/>
            <sz val="10"/>
            <rFont val="Tahoma"/>
            <family val="2"/>
          </rPr>
          <t>value,</t>
        </r>
        <r>
          <rPr>
            <sz val="10"/>
            <rFont val="Tahoma"/>
            <family val="2"/>
          </rPr>
          <t xml:space="preserve"> then the </t>
        </r>
        <r>
          <rPr>
            <sz val="10"/>
            <color indexed="10"/>
            <rFont val="Tahoma"/>
            <family val="2"/>
          </rPr>
          <t>CV of the $BAR</t>
        </r>
        <r>
          <rPr>
            <sz val="10"/>
            <rFont val="Tahoma"/>
            <family val="2"/>
          </rPr>
          <t xml:space="preserve"> will be estimated.
    </t>
        </r>
      </text>
    </comment>
    <comment ref="D78" authorId="1">
      <text>
        <r>
          <rPr>
            <sz val="10"/>
            <color indexed="10"/>
            <rFont val="Tahoma"/>
            <family val="2"/>
          </rPr>
          <t xml:space="preserve">  </t>
        </r>
        <r>
          <rPr>
            <u val="single"/>
            <sz val="10"/>
            <color indexed="10"/>
            <rFont val="Tahoma"/>
            <family val="2"/>
          </rPr>
          <t>Enter</t>
        </r>
        <r>
          <rPr>
            <sz val="10"/>
            <color indexed="10"/>
            <rFont val="Tahoma"/>
            <family val="2"/>
          </rPr>
          <t xml:space="preserve"> the number of sample points</t>
        </r>
        <r>
          <rPr>
            <sz val="10"/>
            <rFont val="Tahoma"/>
            <family val="2"/>
          </rPr>
          <t xml:space="preserve"> for the cruise.</t>
        </r>
      </text>
    </comment>
    <comment ref="D79" authorId="1">
      <text>
        <r>
          <rPr>
            <sz val="10"/>
            <rFont val="Tahoma"/>
            <family val="2"/>
          </rPr>
          <t xml:space="preserve">  </t>
        </r>
        <r>
          <rPr>
            <u val="single"/>
            <sz val="10"/>
            <color indexed="10"/>
            <rFont val="Tahoma"/>
            <family val="2"/>
          </rPr>
          <t>Enter</t>
        </r>
        <r>
          <rPr>
            <sz val="10"/>
            <color indexed="10"/>
            <rFont val="Tahoma"/>
            <family val="2"/>
          </rPr>
          <t xml:space="preserve"> the number of trees</t>
        </r>
        <r>
          <rPr>
            <sz val="10"/>
            <rFont val="Tahoma"/>
            <family val="2"/>
          </rPr>
          <t xml:space="preserve"> to compute the CV of the *BAR for individual trees.
  You can also enter the number of </t>
        </r>
        <r>
          <rPr>
            <i/>
            <sz val="10"/>
            <rFont val="Tahoma"/>
            <family val="2"/>
          </rPr>
          <t>sample points</t>
        </r>
        <r>
          <rPr>
            <sz val="10"/>
            <rFont val="Tahoma"/>
            <family val="2"/>
          </rPr>
          <t xml:space="preserve"> to estimate the </t>
        </r>
        <r>
          <rPr>
            <i/>
            <sz val="10"/>
            <rFont val="Tahoma"/>
            <family val="2"/>
          </rPr>
          <t>CV of the average *BAR for clusters.</t>
        </r>
      </text>
    </comment>
    <comment ref="G78" authorId="1">
      <text>
        <r>
          <rPr>
            <sz val="10"/>
            <rFont val="Tahoma"/>
            <family val="2"/>
          </rPr>
          <t xml:space="preserve">This is a  </t>
        </r>
        <r>
          <rPr>
            <u val="single"/>
            <sz val="10"/>
            <rFont val="Tahoma"/>
            <family val="2"/>
          </rPr>
          <t>correct</t>
        </r>
        <r>
          <rPr>
            <sz val="10"/>
            <rFont val="Tahoma"/>
            <family val="2"/>
          </rPr>
          <t xml:space="preserve"> estimate for the </t>
        </r>
        <r>
          <rPr>
            <sz val="10"/>
            <color indexed="10"/>
            <rFont val="Tahoma"/>
            <family val="2"/>
          </rPr>
          <t>CV of the Basal Area.</t>
        </r>
      </text>
    </comment>
    <comment ref="G79" authorId="1">
      <text>
        <r>
          <rPr>
            <sz val="10"/>
            <rFont val="Tahoma"/>
            <family val="2"/>
          </rPr>
          <t xml:space="preserve">  This is only a </t>
        </r>
        <r>
          <rPr>
            <u val="single"/>
            <sz val="10"/>
            <color indexed="10"/>
            <rFont val="Tahoma"/>
            <family val="2"/>
          </rPr>
          <t>rough</t>
        </r>
        <r>
          <rPr>
            <sz val="10"/>
            <color indexed="10"/>
            <rFont val="Tahoma"/>
            <family val="2"/>
          </rPr>
          <t xml:space="preserve"> approximation of the CV for *BAR.</t>
        </r>
        <r>
          <rPr>
            <sz val="10"/>
            <rFont val="Tahoma"/>
            <family val="2"/>
          </rPr>
          <t xml:space="preserve">  
  It is probably better to get this by processing some volumes and values for individual trees from the cruise.  Use any volume table that uses DBH and Ht for this, since the values are relative.</t>
        </r>
      </text>
    </comment>
    <comment ref="I20" authorId="1">
      <text>
        <r>
          <rPr>
            <sz val="10"/>
            <color indexed="18"/>
            <rFont val="Tahoma"/>
            <family val="2"/>
          </rPr>
          <t xml:space="preserve">   </t>
        </r>
        <r>
          <rPr>
            <sz val="10"/>
            <color indexed="10"/>
            <rFont val="Tahoma"/>
            <family val="2"/>
          </rPr>
          <t>If you need to refresh the spreadsheet,</t>
        </r>
        <r>
          <rPr>
            <sz val="10"/>
            <color indexed="18"/>
            <rFont val="Tahoma"/>
            <family val="2"/>
          </rPr>
          <t xml:space="preserve"> because it has been corrupted in some way, you can get a copy sent to you by simply emailing me.  
   </t>
        </r>
        <r>
          <rPr>
            <sz val="10"/>
            <color indexed="10"/>
            <rFont val="Tahoma"/>
            <family val="2"/>
          </rPr>
          <t>Do this every once in a while anyway,</t>
        </r>
        <r>
          <rPr>
            <sz val="10"/>
            <color indexed="18"/>
            <rFont val="Tahoma"/>
            <family val="2"/>
          </rPr>
          <t xml:space="preserve"> because I keep improving it.
   Give copies to whoever would like one - you have my permission.</t>
        </r>
      </text>
    </comment>
    <comment ref="E14" authorId="1">
      <text>
        <r>
          <rPr>
            <sz val="10"/>
            <rFont val="Tahoma"/>
            <family val="2"/>
          </rPr>
          <t xml:space="preserve">  In this Section (with the light green background) you can </t>
        </r>
        <r>
          <rPr>
            <sz val="10"/>
            <color indexed="10"/>
            <rFont val="Tahoma"/>
            <family val="2"/>
          </rPr>
          <t>test</t>
        </r>
        <r>
          <rPr>
            <sz val="10"/>
            <rFont val="Tahoma"/>
            <family val="2"/>
          </rPr>
          <t xml:space="preserve"> </t>
        </r>
        <r>
          <rPr>
            <sz val="10"/>
            <color indexed="10"/>
            <rFont val="Tahoma"/>
            <family val="2"/>
          </rPr>
          <t>other Combinations</t>
        </r>
        <r>
          <rPr>
            <sz val="10"/>
            <rFont val="Tahoma"/>
            <family val="2"/>
          </rPr>
          <t xml:space="preserve"> of points and measurements.
  </t>
        </r>
        <r>
          <rPr>
            <sz val="10"/>
            <color indexed="10"/>
            <rFont val="Tahoma"/>
            <family val="2"/>
          </rPr>
          <t>The program will compute the Overall  SE%, and the efficiency of your choices.</t>
        </r>
      </text>
    </comment>
    <comment ref="C21" authorId="1">
      <text>
        <r>
          <rPr>
            <sz val="10"/>
            <color indexed="18"/>
            <rFont val="Tahoma"/>
            <family val="2"/>
          </rPr>
          <t xml:space="preserve">  This spreadsheet is initially "protected", meaning that you can only change certain items.
  If </t>
        </r>
        <r>
          <rPr>
            <u val="single"/>
            <sz val="10"/>
            <color indexed="18"/>
            <rFont val="Tahoma"/>
            <family val="2"/>
          </rPr>
          <t>you want to make changes,</t>
        </r>
        <r>
          <rPr>
            <sz val="10"/>
            <color indexed="18"/>
            <rFont val="Tahoma"/>
            <family val="2"/>
          </rPr>
          <t xml:space="preserve"> such as eliminating all metric answers or computing English answers from the metric equivalents, </t>
        </r>
        <r>
          <rPr>
            <sz val="10"/>
            <color indexed="10"/>
            <rFont val="Tahoma"/>
            <family val="2"/>
          </rPr>
          <t>you can turn off the protection</t>
        </r>
        <r>
          <rPr>
            <sz val="10"/>
            <color indexed="18"/>
            <rFont val="Tahoma"/>
            <family val="2"/>
          </rPr>
          <t xml:space="preserve"> using :
     {tools/protection/unprotect sheet}.</t>
        </r>
        <r>
          <rPr>
            <b/>
            <sz val="10"/>
            <rFont val="Tahoma"/>
            <family val="0"/>
          </rPr>
          <t xml:space="preserve">
</t>
        </r>
        <r>
          <rPr>
            <sz val="10"/>
            <rFont val="Tahoma"/>
            <family val="2"/>
          </rPr>
          <t xml:space="preserve">Then you can change titles, comments, lock some cells closed, etc.
  </t>
        </r>
        <r>
          <rPr>
            <sz val="10"/>
            <color indexed="10"/>
            <rFont val="Tahoma"/>
            <family val="2"/>
          </rPr>
          <t>Afterwards, turn the protection on again</t>
        </r>
        <r>
          <rPr>
            <sz val="10"/>
            <rFont val="Tahoma"/>
            <family val="2"/>
          </rPr>
          <t xml:space="preserve"> so you do not destroy cells with equations in them by mistake.</t>
        </r>
      </text>
    </comment>
    <comment ref="D20" authorId="1">
      <text>
        <r>
          <rPr>
            <sz val="10"/>
            <color indexed="18"/>
            <rFont val="Tahoma"/>
            <family val="2"/>
          </rPr>
          <t xml:space="preserve">  </t>
        </r>
        <r>
          <rPr>
            <sz val="10"/>
            <color indexed="10"/>
            <rFont val="Tahoma"/>
            <family val="2"/>
          </rPr>
          <t>If you never use some items,</t>
        </r>
        <r>
          <rPr>
            <sz val="10"/>
            <color indexed="18"/>
            <rFont val="Tahoma"/>
            <family val="2"/>
          </rPr>
          <t xml:space="preserve"> and don’t want them to clutter the spreadsheet, just </t>
        </r>
        <r>
          <rPr>
            <u val="single"/>
            <sz val="10"/>
            <color indexed="18"/>
            <rFont val="Tahoma"/>
            <family val="2"/>
          </rPr>
          <t>unprotect</t>
        </r>
        <r>
          <rPr>
            <sz val="10"/>
            <color indexed="18"/>
            <rFont val="Tahoma"/>
            <family val="2"/>
          </rPr>
          <t xml:space="preserve"> the worksheet and blank out the choices and results.
</t>
        </r>
        <r>
          <rPr>
            <b/>
            <sz val="10"/>
            <color indexed="10"/>
            <rFont val="Tahoma"/>
            <family val="2"/>
          </rPr>
          <t xml:space="preserve">  Better yet</t>
        </r>
        <r>
          <rPr>
            <sz val="10"/>
            <color indexed="10"/>
            <rFont val="Tahoma"/>
            <family val="2"/>
          </rPr>
          <t xml:space="preserve">, </t>
        </r>
        <r>
          <rPr>
            <sz val="10"/>
            <color indexed="18"/>
            <rFont val="Tahoma"/>
            <family val="2"/>
          </rPr>
          <t xml:space="preserve">make the text the same color as the background, then you can reverse the process later, </t>
        </r>
        <r>
          <rPr>
            <u val="single"/>
            <sz val="10"/>
            <color indexed="18"/>
            <rFont val="Tahoma"/>
            <family val="2"/>
          </rPr>
          <t>and</t>
        </r>
        <r>
          <rPr>
            <sz val="10"/>
            <color indexed="18"/>
            <rFont val="Tahoma"/>
            <family val="2"/>
          </rPr>
          <t xml:space="preserve"> you will not mess up any computations.
  </t>
        </r>
        <r>
          <rPr>
            <sz val="10"/>
            <color indexed="10"/>
            <rFont val="Tahoma"/>
            <family val="2"/>
          </rPr>
          <t>If you don't want people to change or use some of the options,</t>
        </r>
        <r>
          <rPr>
            <sz val="10"/>
            <color indexed="18"/>
            <rFont val="Tahoma"/>
            <family val="2"/>
          </rPr>
          <t xml:space="preserve"> you can lock that item by :
  { format/ cells/ protection/ locked }</t>
        </r>
      </text>
    </comment>
    <comment ref="D21" authorId="1">
      <text>
        <r>
          <rPr>
            <sz val="10"/>
            <color indexed="18"/>
            <rFont val="Tahoma"/>
            <family val="2"/>
          </rPr>
          <t xml:space="preserve">1)  Enter an </t>
        </r>
        <r>
          <rPr>
            <sz val="10"/>
            <color indexed="10"/>
            <rFont val="Tahoma"/>
            <family val="2"/>
          </rPr>
          <t>initial number</t>
        </r>
        <r>
          <rPr>
            <sz val="10"/>
            <color indexed="18"/>
            <rFont val="Tahoma"/>
            <family val="2"/>
          </rPr>
          <t xml:space="preserve"> and see the results.
2)  Try an</t>
        </r>
        <r>
          <rPr>
            <sz val="10"/>
            <color indexed="10"/>
            <rFont val="Tahoma"/>
            <family val="2"/>
          </rPr>
          <t xml:space="preserve"> alternative</t>
        </r>
        <r>
          <rPr>
            <sz val="10"/>
            <color indexed="18"/>
            <rFont val="Tahoma"/>
            <family val="2"/>
          </rPr>
          <t xml:space="preserve"> </t>
        </r>
        <r>
          <rPr>
            <sz val="10"/>
            <color indexed="10"/>
            <rFont val="Tahoma"/>
            <family val="2"/>
          </rPr>
          <t>number</t>
        </r>
        <r>
          <rPr>
            <sz val="10"/>
            <color indexed="18"/>
            <rFont val="Tahoma"/>
            <family val="2"/>
          </rPr>
          <t xml:space="preserve"> to see the difference.
3)  </t>
        </r>
        <r>
          <rPr>
            <sz val="10"/>
            <color indexed="10"/>
            <rFont val="Tahoma"/>
            <family val="2"/>
          </rPr>
          <t>Use the "undo" and "redo" commands</t>
        </r>
        <r>
          <rPr>
            <sz val="10"/>
            <color indexed="18"/>
            <rFont val="Tahoma"/>
            <family val="2"/>
          </rPr>
          <t xml:space="preserve"> to change back and forth between the two answers to see the effect. </t>
        </r>
      </text>
    </comment>
    <comment ref="G44" authorId="1">
      <text>
        <r>
          <rPr>
            <sz val="10"/>
            <rFont val="Tahoma"/>
            <family val="2"/>
          </rPr>
          <t xml:space="preserve">  With the diameter (cell H43), and the BAF in this section (cell F38, this is the </t>
        </r>
        <r>
          <rPr>
            <sz val="10"/>
            <color indexed="10"/>
            <rFont val="Tahoma"/>
            <family val="2"/>
          </rPr>
          <t>distance at which this tree is "borderline".</t>
        </r>
        <r>
          <rPr>
            <sz val="10"/>
            <rFont val="Tahoma"/>
            <family val="2"/>
          </rPr>
          <t xml:space="preserve">  Distance is from </t>
        </r>
        <r>
          <rPr>
            <sz val="10"/>
            <color indexed="10"/>
            <rFont val="Tahoma"/>
            <family val="2"/>
          </rPr>
          <t>center</t>
        </r>
        <r>
          <rPr>
            <sz val="10"/>
            <rFont val="Tahoma"/>
            <family val="2"/>
          </rPr>
          <t xml:space="preserve"> of tree to the edge of plot, in </t>
        </r>
        <r>
          <rPr>
            <sz val="10"/>
            <color indexed="10"/>
            <rFont val="Tahoma"/>
            <family val="2"/>
          </rPr>
          <t>feet.</t>
        </r>
        <r>
          <rPr>
            <sz val="10"/>
            <rFont val="Tahoma"/>
            <family val="2"/>
          </rPr>
          <t xml:space="preserve">
  ------------------------------
  You can also calculate exact Plot Radius Factors from  BAFs you enter in one of the sections below this one.</t>
        </r>
      </text>
    </comment>
    <comment ref="N1" authorId="1">
      <text>
        <r>
          <rPr>
            <sz val="10"/>
            <rFont val="Tahoma"/>
            <family val="2"/>
          </rPr>
          <t xml:space="preserve">  This is the </t>
        </r>
        <r>
          <rPr>
            <sz val="10"/>
            <color indexed="10"/>
            <rFont val="Tahoma"/>
            <family val="2"/>
          </rPr>
          <t>midpoint interval</t>
        </r>
        <r>
          <rPr>
            <sz val="10"/>
            <rFont val="Tahoma"/>
            <family val="2"/>
          </rPr>
          <t xml:space="preserve"> for displaying data on some of the graphs.  It is copied from cell B11, but </t>
        </r>
        <r>
          <rPr>
            <sz val="10"/>
            <color indexed="10"/>
            <rFont val="Tahoma"/>
            <family val="2"/>
          </rPr>
          <t xml:space="preserve">you can change the midpoint </t>
        </r>
        <r>
          <rPr>
            <sz val="10"/>
            <color indexed="18"/>
            <rFont val="Tahoma"/>
            <family val="2"/>
          </rPr>
          <t xml:space="preserve">by </t>
        </r>
        <r>
          <rPr>
            <sz val="10"/>
            <rFont val="Tahoma"/>
            <family val="2"/>
          </rPr>
          <t xml:space="preserve">using the increment in cell L2.  If you put in -20, the midpoint will be shifted down to 20. </t>
        </r>
      </text>
    </comment>
    <comment ref="H37" authorId="1">
      <text>
        <r>
          <rPr>
            <sz val="10"/>
            <rFont val="Tahoma"/>
            <family val="2"/>
          </rPr>
          <t xml:space="preserve">  </t>
        </r>
        <r>
          <rPr>
            <sz val="10"/>
            <color indexed="10"/>
            <rFont val="Tahoma"/>
            <family val="2"/>
          </rPr>
          <t xml:space="preserve">Enter the size of the </t>
        </r>
        <r>
          <rPr>
            <b/>
            <sz val="10"/>
            <color indexed="12"/>
            <rFont val="Tahoma"/>
            <family val="2"/>
          </rPr>
          <t>flat</t>
        </r>
        <r>
          <rPr>
            <sz val="10"/>
            <color indexed="10"/>
            <rFont val="Tahoma"/>
            <family val="2"/>
          </rPr>
          <t xml:space="preserve"> target used in </t>
        </r>
        <r>
          <rPr>
            <b/>
            <sz val="10"/>
            <color indexed="12"/>
            <rFont val="Tahoma"/>
            <family val="2"/>
          </rPr>
          <t>inches.</t>
        </r>
        <r>
          <rPr>
            <sz val="10"/>
            <rFont val="Tahoma"/>
            <family val="2"/>
          </rPr>
          <t xml:space="preserve">
  This is initially set at 8.5 inches, the size of a standard sheet of paper (in feet).  Colored paper on a wall is a very effective target, but you can enter another size if you want.</t>
        </r>
      </text>
    </comment>
    <comment ref="H38" authorId="1">
      <text>
        <r>
          <rPr>
            <sz val="10"/>
            <rFont val="Tahoma"/>
            <family val="2"/>
          </rPr>
          <t xml:space="preserve">  
    This is the </t>
        </r>
        <r>
          <rPr>
            <sz val="10"/>
            <color indexed="10"/>
            <rFont val="Tahoma"/>
            <family val="2"/>
          </rPr>
          <t>horizontal</t>
        </r>
        <r>
          <rPr>
            <sz val="10"/>
            <rFont val="Tahoma"/>
            <family val="2"/>
          </rPr>
          <t xml:space="preserve"> </t>
        </r>
        <r>
          <rPr>
            <sz val="10"/>
            <color indexed="10"/>
            <rFont val="Tahoma"/>
            <family val="2"/>
          </rPr>
          <t xml:space="preserve">distance from the target (cell </t>
        </r>
        <r>
          <rPr>
            <sz val="10"/>
            <color indexed="10"/>
            <rFont val="Times New Roman"/>
            <family val="1"/>
          </rPr>
          <t>I</t>
        </r>
        <r>
          <rPr>
            <sz val="10"/>
            <color indexed="10"/>
            <rFont val="Tahoma"/>
            <family val="2"/>
          </rPr>
          <t xml:space="preserve">37, </t>
        </r>
        <r>
          <rPr>
            <sz val="10"/>
            <rFont val="Tahoma"/>
            <family val="2"/>
          </rPr>
          <t xml:space="preserve">in </t>
        </r>
        <r>
          <rPr>
            <b/>
            <sz val="10"/>
            <rFont val="Tahoma"/>
            <family val="2"/>
          </rPr>
          <t>feet</t>
        </r>
        <r>
          <rPr>
            <sz val="10"/>
            <rFont val="Tahoma"/>
            <family val="2"/>
          </rPr>
          <t xml:space="preserve">) where the target should appear "borderline" with the BAF in cell I36.  
</t>
        </r>
      </text>
    </comment>
    <comment ref="D65" authorId="1">
      <text>
        <r>
          <rPr>
            <sz val="10"/>
            <rFont val="Tahoma"/>
            <family val="2"/>
          </rPr>
          <t xml:space="preserve">This is the "Blow-up" Factor of the ENGLISH BAF in cell </t>
        </r>
        <r>
          <rPr>
            <sz val="10"/>
            <color indexed="10"/>
            <rFont val="Tahoma"/>
            <family val="2"/>
          </rPr>
          <t>C62</t>
        </r>
        <r>
          <rPr>
            <sz val="10"/>
            <rFont val="Tahoma"/>
            <family val="2"/>
          </rPr>
          <t xml:space="preserve">.
This is the number of times larger the </t>
        </r>
        <r>
          <rPr>
            <sz val="10"/>
            <color indexed="10"/>
            <rFont val="Tahoma"/>
            <family val="2"/>
          </rPr>
          <t>area of the plot</t>
        </r>
        <r>
          <rPr>
            <sz val="10"/>
            <rFont val="Tahoma"/>
            <family val="2"/>
          </rPr>
          <t xml:space="preserve"> around the tree is than the basal area of </t>
        </r>
        <r>
          <rPr>
            <sz val="10"/>
            <color indexed="10"/>
            <rFont val="Tahoma"/>
            <family val="2"/>
          </rPr>
          <t>the tree</t>
        </r>
        <r>
          <rPr>
            <sz val="10"/>
            <rFont val="Tahoma"/>
            <family val="2"/>
          </rPr>
          <t xml:space="preserve"> itself.  It is constant for any particular angle used.</t>
        </r>
      </text>
    </comment>
    <comment ref="J38" authorId="2">
      <text>
        <r>
          <rPr>
            <sz val="9"/>
            <rFont val="Tahoma"/>
            <family val="2"/>
          </rPr>
          <t xml:space="preserve">    If you are calibrating a target held at some distance from your eye : fill in the </t>
        </r>
        <r>
          <rPr>
            <b/>
            <sz val="9"/>
            <color indexed="12"/>
            <rFont val="Tahoma"/>
            <family val="2"/>
          </rPr>
          <t>distance (in feet)</t>
        </r>
        <r>
          <rPr>
            <sz val="9"/>
            <rFont val="Tahoma"/>
            <family val="2"/>
          </rPr>
          <t xml:space="preserve"> from your eye to the target and the </t>
        </r>
        <r>
          <rPr>
            <b/>
            <sz val="9"/>
            <rFont val="Tahoma"/>
            <family val="2"/>
          </rPr>
          <t>BAF</t>
        </r>
        <r>
          <rPr>
            <sz val="9"/>
            <rFont val="Tahoma"/>
            <family val="2"/>
          </rPr>
          <t xml:space="preserve"> desired - this calculates the width of target to use (in inches) to create that BAF.</t>
        </r>
      </text>
    </comment>
    <comment ref="K40" authorId="2">
      <text>
        <r>
          <rPr>
            <sz val="10"/>
            <rFont val="Tahoma"/>
            <family val="2"/>
          </rPr>
          <t xml:space="preserve">  </t>
        </r>
        <r>
          <rPr>
            <sz val="9"/>
            <color indexed="12"/>
            <rFont val="Tahoma"/>
            <family val="2"/>
          </rPr>
          <t>The gold cells are here in case you want to make any temporary calculations.</t>
        </r>
      </text>
    </comment>
    <comment ref="F72" authorId="1">
      <text>
        <r>
          <rPr>
            <sz val="10"/>
            <rFont val="Tahoma"/>
            <family val="2"/>
          </rPr>
          <t xml:space="preserve">This is the </t>
        </r>
        <r>
          <rPr>
            <u val="single"/>
            <sz val="10"/>
            <rFont val="Tahoma"/>
            <family val="2"/>
          </rPr>
          <t>Metric</t>
        </r>
        <r>
          <rPr>
            <sz val="10"/>
            <rFont val="Tahoma"/>
            <family val="2"/>
          </rPr>
          <t xml:space="preserve"> </t>
        </r>
        <r>
          <rPr>
            <sz val="10"/>
            <color indexed="10"/>
            <rFont val="Tahoma"/>
            <family val="2"/>
          </rPr>
          <t>Plot Radius Factor</t>
        </r>
        <r>
          <rPr>
            <sz val="10"/>
            <rFont val="Tahoma"/>
            <family val="2"/>
          </rPr>
          <t xml:space="preserve"> for that BAF, to the </t>
        </r>
        <r>
          <rPr>
            <u val="single"/>
            <sz val="10"/>
            <color indexed="10"/>
            <rFont val="Tahoma"/>
            <family val="2"/>
          </rPr>
          <t>center</t>
        </r>
        <r>
          <rPr>
            <sz val="10"/>
            <rFont val="Tahoma"/>
            <family val="2"/>
          </rPr>
          <t xml:space="preserve"> of the tree, in </t>
        </r>
        <r>
          <rPr>
            <sz val="10"/>
            <color indexed="10"/>
            <rFont val="Tahoma"/>
            <family val="2"/>
          </rPr>
          <t>metres per centimeter</t>
        </r>
        <r>
          <rPr>
            <sz val="10"/>
            <rFont val="Tahoma"/>
            <family val="2"/>
          </rPr>
          <t xml:space="preserve"> of DBH.
  Note that the PRF to the </t>
        </r>
        <r>
          <rPr>
            <i/>
            <sz val="10"/>
            <rFont val="Tahoma"/>
            <family val="2"/>
          </rPr>
          <t>face</t>
        </r>
        <r>
          <rPr>
            <sz val="10"/>
            <rFont val="Tahoma"/>
            <family val="2"/>
          </rPr>
          <t xml:space="preserve"> of the tree is also computed in the </t>
        </r>
        <r>
          <rPr>
            <i/>
            <sz val="10"/>
            <rFont val="Tahoma"/>
            <family val="2"/>
          </rPr>
          <t>next section.</t>
        </r>
      </text>
    </comment>
    <comment ref="H72" authorId="1">
      <text>
        <r>
          <rPr>
            <sz val="10"/>
            <rFont val="Tahoma"/>
            <family val="2"/>
          </rPr>
          <t xml:space="preserve">  This is the </t>
        </r>
        <r>
          <rPr>
            <sz val="10"/>
            <color indexed="10"/>
            <rFont val="Tahoma"/>
            <family val="2"/>
          </rPr>
          <t>"critical distance"</t>
        </r>
        <r>
          <rPr>
            <sz val="10"/>
            <rFont val="Tahoma"/>
            <family val="2"/>
          </rPr>
          <t xml:space="preserve"> from the </t>
        </r>
        <r>
          <rPr>
            <u val="single"/>
            <sz val="10"/>
            <rFont val="Tahoma"/>
            <family val="2"/>
          </rPr>
          <t>center</t>
        </r>
        <r>
          <rPr>
            <sz val="10"/>
            <rFont val="Tahoma"/>
            <family val="2"/>
          </rPr>
          <t xml:space="preserve"> of the tree to the edge of the plot around that tree, </t>
        </r>
        <r>
          <rPr>
            <sz val="10"/>
            <color indexed="10"/>
            <rFont val="Tahoma"/>
            <family val="2"/>
          </rPr>
          <t>in metres,</t>
        </r>
        <r>
          <rPr>
            <sz val="10"/>
            <rFont val="Tahoma"/>
            <family val="2"/>
          </rPr>
          <t xml:space="preserve"> using the BAF and DBH given.</t>
        </r>
      </text>
    </comment>
    <comment ref="H69" authorId="1">
      <text>
        <r>
          <rPr>
            <sz val="10"/>
            <rFont val="Tahoma"/>
            <family val="2"/>
          </rPr>
          <t xml:space="preserve">  This is the </t>
        </r>
        <r>
          <rPr>
            <sz val="10"/>
            <color indexed="10"/>
            <rFont val="Tahoma"/>
            <family val="2"/>
          </rPr>
          <t>area of the plot</t>
        </r>
        <r>
          <rPr>
            <sz val="10"/>
            <rFont val="Tahoma"/>
            <family val="2"/>
          </rPr>
          <t xml:space="preserve"> around that tree, in </t>
        </r>
        <r>
          <rPr>
            <sz val="10"/>
            <color indexed="10"/>
            <rFont val="Tahoma"/>
            <family val="2"/>
          </rPr>
          <t>square metres,</t>
        </r>
        <r>
          <rPr>
            <sz val="10"/>
            <rFont val="Tahoma"/>
            <family val="2"/>
          </rPr>
          <t xml:space="preserve"> using the DBH and BAF entered.</t>
        </r>
      </text>
    </comment>
    <comment ref="B69" authorId="1">
      <text>
        <r>
          <rPr>
            <sz val="10"/>
            <rFont val="Tahoma"/>
            <family val="2"/>
          </rPr>
          <t xml:space="preserve">  This is the </t>
        </r>
        <r>
          <rPr>
            <sz val="10"/>
            <color indexed="10"/>
            <rFont val="Tahoma"/>
            <family val="2"/>
          </rPr>
          <t>Metric BAF</t>
        </r>
        <r>
          <rPr>
            <sz val="10"/>
            <rFont val="Tahoma"/>
            <family val="2"/>
          </rPr>
          <t xml:space="preserve"> in square metres per hectare.  On the initial spreadsheet, it is computed from the English BAF (english/4.356).  If you consistently use the Metric BAF you might want to do the calculation in the reverse, or just leave it blank.</t>
        </r>
      </text>
    </comment>
    <comment ref="H70" authorId="1">
      <text>
        <r>
          <rPr>
            <sz val="10"/>
            <rFont val="Tahoma"/>
            <family val="2"/>
          </rPr>
          <t xml:space="preserve">  This is the </t>
        </r>
        <r>
          <rPr>
            <sz val="10"/>
            <color indexed="10"/>
            <rFont val="Tahoma"/>
            <family val="2"/>
          </rPr>
          <t>area of the plot</t>
        </r>
        <r>
          <rPr>
            <sz val="10"/>
            <rFont val="Tahoma"/>
            <family val="2"/>
          </rPr>
          <t xml:space="preserve"> around that tree, </t>
        </r>
        <r>
          <rPr>
            <sz val="10"/>
            <color indexed="10"/>
            <rFont val="Tahoma"/>
            <family val="2"/>
          </rPr>
          <t>in hectares,</t>
        </r>
        <r>
          <rPr>
            <sz val="10"/>
            <rFont val="Tahoma"/>
            <family val="2"/>
          </rPr>
          <t xml:space="preserve"> using the DBH and BAF entered.</t>
        </r>
      </text>
    </comment>
    <comment ref="D72" authorId="1">
      <text>
        <r>
          <rPr>
            <sz val="10"/>
            <rFont val="Tahoma"/>
            <family val="2"/>
          </rPr>
          <t xml:space="preserve">This is the "Blow-up" Factor of the METRIC BAF in cell </t>
        </r>
        <r>
          <rPr>
            <sz val="10"/>
            <color indexed="10"/>
            <rFont val="Tahoma"/>
            <family val="2"/>
          </rPr>
          <t>C69</t>
        </r>
        <r>
          <rPr>
            <sz val="10"/>
            <rFont val="Tahoma"/>
            <family val="2"/>
          </rPr>
          <t xml:space="preserve">.
This is the number of times larger the </t>
        </r>
        <r>
          <rPr>
            <sz val="10"/>
            <color indexed="10"/>
            <rFont val="Tahoma"/>
            <family val="2"/>
          </rPr>
          <t>area of the plot</t>
        </r>
        <r>
          <rPr>
            <sz val="10"/>
            <rFont val="Tahoma"/>
            <family val="2"/>
          </rPr>
          <t xml:space="preserve"> around the tree is than the basal area of </t>
        </r>
        <r>
          <rPr>
            <sz val="10"/>
            <color indexed="10"/>
            <rFont val="Tahoma"/>
            <family val="2"/>
          </rPr>
          <t>the tree</t>
        </r>
        <r>
          <rPr>
            <sz val="10"/>
            <rFont val="Tahoma"/>
            <family val="2"/>
          </rPr>
          <t xml:space="preserve"> itself.  It is constant for any particular angle used.</t>
        </r>
      </text>
    </comment>
    <comment ref="F73" authorId="1">
      <text>
        <r>
          <rPr>
            <i/>
            <sz val="10"/>
            <rFont val="Tahoma"/>
            <family val="2"/>
          </rPr>
          <t xml:space="preserve">  This is the </t>
        </r>
        <r>
          <rPr>
            <i/>
            <sz val="10"/>
            <color indexed="10"/>
            <rFont val="Tahoma"/>
            <family val="2"/>
          </rPr>
          <t>Plot Radius Factor,</t>
        </r>
        <r>
          <rPr>
            <i/>
            <sz val="10"/>
            <rFont val="Tahoma"/>
            <family val="2"/>
          </rPr>
          <t xml:space="preserve"> in </t>
        </r>
        <r>
          <rPr>
            <i/>
            <sz val="10"/>
            <color indexed="10"/>
            <rFont val="Tahoma"/>
            <family val="2"/>
          </rPr>
          <t>Meters per cm</t>
        </r>
        <r>
          <rPr>
            <i/>
            <sz val="10"/>
            <rFont val="Tahoma"/>
            <family val="2"/>
          </rPr>
          <t xml:space="preserve"> of DBH, from the </t>
        </r>
        <r>
          <rPr>
            <i/>
            <u val="single"/>
            <sz val="10"/>
            <color indexed="10"/>
            <rFont val="Tahoma"/>
            <family val="2"/>
          </rPr>
          <t>FACE</t>
        </r>
        <r>
          <rPr>
            <i/>
            <sz val="10"/>
            <rFont val="Tahoma"/>
            <family val="2"/>
          </rPr>
          <t xml:space="preserve"> of the tree to the edge of the plot around that tree.</t>
        </r>
      </text>
    </comment>
    <comment ref="K63" authorId="2">
      <text>
        <r>
          <rPr>
            <sz val="10"/>
            <rFont val="Tahoma"/>
            <family val="2"/>
          </rPr>
          <t xml:space="preserve">  </t>
        </r>
        <r>
          <rPr>
            <sz val="9"/>
            <color indexed="12"/>
            <rFont val="Tahoma"/>
            <family val="2"/>
          </rPr>
          <t>The gold cell below is here in case you want to make any temporary calculations.</t>
        </r>
      </text>
    </comment>
    <comment ref="H48" authorId="1">
      <text>
        <r>
          <rPr>
            <sz val="10"/>
            <rFont val="Tahoma"/>
            <family val="2"/>
          </rPr>
          <t xml:space="preserve">  </t>
        </r>
        <r>
          <rPr>
            <sz val="10"/>
            <color indexed="10"/>
            <rFont val="Tahoma"/>
            <family val="2"/>
          </rPr>
          <t xml:space="preserve">Put in convenient </t>
        </r>
        <r>
          <rPr>
            <u val="single"/>
            <sz val="10"/>
            <color indexed="10"/>
            <rFont val="Tahoma"/>
            <family val="2"/>
          </rPr>
          <t>Metric</t>
        </r>
        <r>
          <rPr>
            <sz val="10"/>
            <color indexed="10"/>
            <rFont val="Tahoma"/>
            <family val="2"/>
          </rPr>
          <t xml:space="preserve"> BAFs</t>
        </r>
        <r>
          <rPr>
            <sz val="10"/>
            <rFont val="Tahoma"/>
            <family val="2"/>
          </rPr>
          <t xml:space="preserve">.  Then you can calculate distances in feet from a standard 8.5" sheet of paper on the wall to </t>
        </r>
        <r>
          <rPr>
            <sz val="10"/>
            <color indexed="10"/>
            <rFont val="Tahoma"/>
            <family val="2"/>
          </rPr>
          <t>calibrate your thumb</t>
        </r>
        <r>
          <rPr>
            <sz val="10"/>
            <rFont val="Tahoma"/>
            <family val="2"/>
          </rPr>
          <t xml:space="preserve"> for rough work. 
  If you usually use a particular prism, stand at that distance and find something to use to create that angle for approximate work (the width of 2 fingers, or your increment bore, for instance).  With your </t>
        </r>
        <r>
          <rPr>
            <sz val="10"/>
            <color indexed="10"/>
            <rFont val="Tahoma"/>
            <family val="2"/>
          </rPr>
          <t>thumb</t>
        </r>
        <r>
          <rPr>
            <sz val="10"/>
            <rFont val="Tahoma"/>
            <family val="2"/>
          </rPr>
          <t xml:space="preserve"> the distance is to your EYE, since that is the vertex of the angle being created.  
  With </t>
        </r>
        <r>
          <rPr>
            <sz val="10"/>
            <color indexed="10"/>
            <rFont val="Tahoma"/>
            <family val="2"/>
          </rPr>
          <t>prisms,</t>
        </r>
        <r>
          <rPr>
            <sz val="10"/>
            <rFont val="Tahoma"/>
            <family val="2"/>
          </rPr>
          <t xml:space="preserve"> the vertex occurs at the prism.  With a </t>
        </r>
        <r>
          <rPr>
            <sz val="10"/>
            <color indexed="10"/>
            <rFont val="Tahoma"/>
            <family val="2"/>
          </rPr>
          <t>Relascope,</t>
        </r>
        <r>
          <rPr>
            <sz val="10"/>
            <rFont val="Tahoma"/>
            <family val="2"/>
          </rPr>
          <t xml:space="preserve"> it is roughly at your eye again.  </t>
        </r>
      </text>
    </comment>
    <comment ref="H49" authorId="1">
      <text>
        <r>
          <rPr>
            <sz val="10"/>
            <rFont val="Tahoma"/>
            <family val="2"/>
          </rPr>
          <t xml:space="preserve">  </t>
        </r>
        <r>
          <rPr>
            <sz val="10"/>
            <color indexed="10"/>
            <rFont val="Tahoma"/>
            <family val="2"/>
          </rPr>
          <t xml:space="preserve">Enter the size of the </t>
        </r>
        <r>
          <rPr>
            <b/>
            <sz val="10"/>
            <color indexed="12"/>
            <rFont val="Tahoma"/>
            <family val="2"/>
          </rPr>
          <t>flat</t>
        </r>
        <r>
          <rPr>
            <sz val="10"/>
            <color indexed="10"/>
            <rFont val="Tahoma"/>
            <family val="2"/>
          </rPr>
          <t xml:space="preserve"> target used in </t>
        </r>
        <r>
          <rPr>
            <b/>
            <sz val="10"/>
            <color indexed="12"/>
            <rFont val="Tahoma"/>
            <family val="2"/>
          </rPr>
          <t>centimeters.</t>
        </r>
        <r>
          <rPr>
            <sz val="10"/>
            <rFont val="Tahoma"/>
            <family val="2"/>
          </rPr>
          <t xml:space="preserve">
   Colored paper on a wall is a very effective target (21.59 cm in width), but you can enter another size if you want.</t>
        </r>
      </text>
    </comment>
    <comment ref="C50" authorId="1">
      <text>
        <r>
          <rPr>
            <sz val="10"/>
            <rFont val="Tahoma"/>
            <family val="2"/>
          </rPr>
          <t xml:space="preserve">Enter the </t>
        </r>
        <r>
          <rPr>
            <sz val="10"/>
            <color indexed="10"/>
            <rFont val="Tahoma"/>
            <family val="2"/>
          </rPr>
          <t>width of the target</t>
        </r>
        <r>
          <rPr>
            <sz val="10"/>
            <rFont val="Tahoma"/>
            <family val="2"/>
          </rPr>
          <t xml:space="preserve"> 
(in centimeters)</t>
        </r>
      </text>
    </comment>
    <comment ref="C51" authorId="1">
      <text>
        <r>
          <rPr>
            <sz val="10"/>
            <rFont val="Tahoma"/>
            <family val="2"/>
          </rPr>
          <t xml:space="preserve">Enter the </t>
        </r>
        <r>
          <rPr>
            <sz val="10"/>
            <color indexed="10"/>
            <rFont val="Tahoma"/>
            <family val="2"/>
          </rPr>
          <t>distance to the target.</t>
        </r>
        <r>
          <rPr>
            <sz val="10"/>
            <rFont val="Tahoma"/>
            <family val="2"/>
          </rPr>
          <t xml:space="preserve"> 
(in meters)</t>
        </r>
      </text>
    </comment>
    <comment ref="C52" authorId="1">
      <text>
        <r>
          <rPr>
            <sz val="10"/>
            <rFont val="Tahoma"/>
            <family val="2"/>
          </rPr>
          <t xml:space="preserve">  Enter a </t>
        </r>
        <r>
          <rPr>
            <sz val="10"/>
            <color indexed="10"/>
            <rFont val="Tahoma"/>
            <family val="2"/>
          </rPr>
          <t>1</t>
        </r>
        <r>
          <rPr>
            <sz val="10"/>
            <rFont val="Tahoma"/>
            <family val="2"/>
          </rPr>
          <t xml:space="preserve"> if you are using a </t>
        </r>
        <r>
          <rPr>
            <sz val="10"/>
            <color indexed="10"/>
            <rFont val="Tahoma"/>
            <family val="2"/>
          </rPr>
          <t>flat</t>
        </r>
        <r>
          <rPr>
            <sz val="10"/>
            <rFont val="Tahoma"/>
            <family val="2"/>
          </rPr>
          <t xml:space="preserve"> target (like a sheet of paper), and a </t>
        </r>
        <r>
          <rPr>
            <sz val="10"/>
            <color indexed="10"/>
            <rFont val="Tahoma"/>
            <family val="2"/>
          </rPr>
          <t>0</t>
        </r>
        <r>
          <rPr>
            <sz val="10"/>
            <rFont val="Tahoma"/>
            <family val="2"/>
          </rPr>
          <t xml:space="preserve"> if you are using a </t>
        </r>
        <r>
          <rPr>
            <sz val="10"/>
            <color indexed="10"/>
            <rFont val="Tahoma"/>
            <family val="2"/>
          </rPr>
          <t>cylinder</t>
        </r>
        <r>
          <rPr>
            <sz val="10"/>
            <rFont val="Tahoma"/>
            <family val="2"/>
          </rPr>
          <t xml:space="preserve"> as the target.
  This is a small correction, but you might as well use it.</t>
        </r>
      </text>
    </comment>
    <comment ref="H53" authorId="1">
      <text>
        <r>
          <rPr>
            <i/>
            <sz val="10"/>
            <rFont val="Tahoma"/>
            <family val="2"/>
          </rPr>
          <t xml:space="preserve">This is the </t>
        </r>
        <r>
          <rPr>
            <i/>
            <u val="single"/>
            <sz val="10"/>
            <rFont val="Tahoma"/>
            <family val="2"/>
          </rPr>
          <t>metric</t>
        </r>
        <r>
          <rPr>
            <i/>
            <sz val="10"/>
            <color indexed="10"/>
            <rFont val="Tahoma"/>
            <family val="2"/>
          </rPr>
          <t xml:space="preserve"> Plot Radius Factor</t>
        </r>
        <r>
          <rPr>
            <i/>
            <sz val="10"/>
            <rFont val="Tahoma"/>
            <family val="2"/>
          </rPr>
          <t xml:space="preserve"> for a  BAF in cell F51, from the </t>
        </r>
        <r>
          <rPr>
            <b/>
            <i/>
            <sz val="10"/>
            <rFont val="Tahoma"/>
            <family val="2"/>
          </rPr>
          <t>CENTER</t>
        </r>
        <r>
          <rPr>
            <i/>
            <sz val="10"/>
            <rFont val="Tahoma"/>
            <family val="2"/>
          </rPr>
          <t xml:space="preserve"> of the tree in </t>
        </r>
        <r>
          <rPr>
            <i/>
            <sz val="10"/>
            <color indexed="10"/>
            <rFont val="Tahoma"/>
            <family val="2"/>
          </rPr>
          <t>metres per centimeter</t>
        </r>
        <r>
          <rPr>
            <i/>
            <sz val="10"/>
            <rFont val="Tahoma"/>
            <family val="2"/>
          </rPr>
          <t xml:space="preserve"> of DBH.</t>
        </r>
      </text>
    </comment>
    <comment ref="B55" authorId="1">
      <text>
        <r>
          <rPr>
            <sz val="10"/>
            <rFont val="Tahoma"/>
            <family val="2"/>
          </rPr>
          <t xml:space="preserve">  If you want to compute the BAF from a particular Plot Radius Factor, this section will do that.   </t>
        </r>
        <r>
          <rPr>
            <sz val="10"/>
            <color indexed="10"/>
            <rFont val="Tahoma"/>
            <family val="2"/>
          </rPr>
          <t>Enter the Plot Radius Factor here.</t>
        </r>
        <r>
          <rPr>
            <sz val="10"/>
            <rFont val="Tahoma"/>
            <family val="2"/>
          </rPr>
          <t xml:space="preserve">
</t>
        </r>
        <r>
          <rPr>
            <sz val="10"/>
            <color indexed="10"/>
            <rFont val="Tahoma"/>
            <family val="2"/>
          </rPr>
          <t>The way you check borderline trees determines the exact BAF that should be used in compilations.</t>
        </r>
        <r>
          <rPr>
            <sz val="10"/>
            <rFont val="Tahoma"/>
            <family val="2"/>
          </rPr>
          <t xml:space="preserve">   If you check them with the Plot Radius Factor, using a particular number of digits, this is how you should compute the BAF for compiling the data.
  If you determine borderline trees by eye, then you should calibrate the prism for yourself, since everyone views "borderline" a bit differently.  
</t>
        </r>
      </text>
    </comment>
    <comment ref="D56" authorId="1">
      <text>
        <r>
          <rPr>
            <sz val="10"/>
            <rFont val="Tahoma"/>
            <family val="2"/>
          </rPr>
          <t xml:space="preserve">  This is the </t>
        </r>
        <r>
          <rPr>
            <u val="single"/>
            <sz val="10"/>
            <rFont val="Tahoma"/>
            <family val="2"/>
          </rPr>
          <t>Metric</t>
        </r>
        <r>
          <rPr>
            <sz val="10"/>
            <rFont val="Tahoma"/>
            <family val="2"/>
          </rPr>
          <t xml:space="preserve"> </t>
        </r>
        <r>
          <rPr>
            <sz val="10"/>
            <color indexed="10"/>
            <rFont val="Tahoma"/>
            <family val="2"/>
          </rPr>
          <t>BAF</t>
        </r>
        <r>
          <rPr>
            <sz val="10"/>
            <rFont val="Tahoma"/>
            <family val="2"/>
          </rPr>
          <t xml:space="preserve"> for a Plot Radius Factor (cell C55) measured to the </t>
        </r>
        <r>
          <rPr>
            <sz val="10"/>
            <color indexed="10"/>
            <rFont val="Tahoma"/>
            <family val="2"/>
          </rPr>
          <t>center</t>
        </r>
        <r>
          <rPr>
            <sz val="10"/>
            <rFont val="Tahoma"/>
            <family val="2"/>
          </rPr>
          <t xml:space="preserve"> of a tree in </t>
        </r>
        <r>
          <rPr>
            <sz val="10"/>
            <color indexed="10"/>
            <rFont val="Tahoma"/>
            <family val="2"/>
          </rPr>
          <t>Square metres / hectare.</t>
        </r>
      </text>
    </comment>
    <comment ref="E56" authorId="1">
      <text>
        <r>
          <rPr>
            <sz val="10"/>
            <rFont val="Tahoma"/>
            <family val="2"/>
          </rPr>
          <t xml:space="preserve">  This is the </t>
        </r>
        <r>
          <rPr>
            <u val="single"/>
            <sz val="10"/>
            <rFont val="Tahoma"/>
            <family val="2"/>
          </rPr>
          <t>metric</t>
        </r>
        <r>
          <rPr>
            <sz val="10"/>
            <rFont val="Tahoma"/>
            <family val="2"/>
          </rPr>
          <t xml:space="preserve"> </t>
        </r>
        <r>
          <rPr>
            <sz val="10"/>
            <color indexed="10"/>
            <rFont val="Tahoma"/>
            <family val="2"/>
          </rPr>
          <t>BAF</t>
        </r>
        <r>
          <rPr>
            <sz val="10"/>
            <rFont val="Tahoma"/>
            <family val="2"/>
          </rPr>
          <t xml:space="preserve"> for a Plot Radius Factor (cell C55) measured to the </t>
        </r>
        <r>
          <rPr>
            <sz val="10"/>
            <color indexed="10"/>
            <rFont val="Tahoma"/>
            <family val="2"/>
          </rPr>
          <t>FACE</t>
        </r>
        <r>
          <rPr>
            <sz val="10"/>
            <rFont val="Tahoma"/>
            <family val="2"/>
          </rPr>
          <t xml:space="preserve"> of a tree in </t>
        </r>
        <r>
          <rPr>
            <sz val="10"/>
            <color indexed="10"/>
            <rFont val="Tahoma"/>
            <family val="2"/>
          </rPr>
          <t>Square metres per hectare.</t>
        </r>
      </text>
    </comment>
    <comment ref="K52" authorId="2">
      <text>
        <r>
          <rPr>
            <sz val="10"/>
            <rFont val="Tahoma"/>
            <family val="2"/>
          </rPr>
          <t xml:space="preserve">  </t>
        </r>
        <r>
          <rPr>
            <sz val="9"/>
            <color indexed="12"/>
            <rFont val="Tahoma"/>
            <family val="2"/>
          </rPr>
          <t>The gold cells below are here in case you want to make any temporary calculations.</t>
        </r>
      </text>
    </comment>
    <comment ref="F51" authorId="1">
      <text>
        <r>
          <rPr>
            <sz val="10"/>
            <rFont val="Tahoma"/>
            <family val="2"/>
          </rPr>
          <t xml:space="preserve">  This is the </t>
        </r>
        <r>
          <rPr>
            <sz val="10"/>
            <color indexed="10"/>
            <rFont val="Tahoma"/>
            <family val="2"/>
          </rPr>
          <t xml:space="preserve">Calculated </t>
        </r>
        <r>
          <rPr>
            <u val="single"/>
            <sz val="10"/>
            <color indexed="10"/>
            <rFont val="Tahoma"/>
            <family val="2"/>
          </rPr>
          <t>METRIC</t>
        </r>
        <r>
          <rPr>
            <sz val="10"/>
            <color indexed="10"/>
            <rFont val="Tahoma"/>
            <family val="2"/>
          </rPr>
          <t xml:space="preserve"> BAF</t>
        </r>
        <r>
          <rPr>
            <sz val="10"/>
            <rFont val="Tahoma"/>
            <family val="2"/>
          </rPr>
          <t xml:space="preserve"> of that target at that distance, in </t>
        </r>
        <r>
          <rPr>
            <sz val="10"/>
            <color indexed="10"/>
            <rFont val="Tahoma"/>
            <family val="2"/>
          </rPr>
          <t>square meters per hectare.</t>
        </r>
        <r>
          <rPr>
            <sz val="10"/>
            <rFont val="Tahoma"/>
            <family val="2"/>
          </rPr>
          <t xml:space="preserve">
  </t>
        </r>
        <r>
          <rPr>
            <sz val="10"/>
            <color indexed="14"/>
            <rFont val="Tahoma"/>
            <family val="2"/>
          </rPr>
          <t xml:space="preserve">The actual BAF should be defined by the Plot Radius Factor (PRF) that is used to check borderline trees (see part at bottom that calculates this). </t>
        </r>
        <r>
          <rPr>
            <sz val="10"/>
            <rFont val="Tahoma"/>
            <family val="2"/>
          </rPr>
          <t xml:space="preserve"> </t>
        </r>
        <r>
          <rPr>
            <i/>
            <sz val="10"/>
            <rFont val="Tahoma"/>
            <family val="2"/>
          </rPr>
          <t>If you do not check borderline trees,</t>
        </r>
        <r>
          <rPr>
            <sz val="10"/>
            <rFont val="Tahoma"/>
            <family val="2"/>
          </rPr>
          <t xml:space="preserve"> the BAF is this calibrated one, and it depends on the person using the angle guage, as well as the instrument.</t>
        </r>
      </text>
    </comment>
    <comment ref="H42" authorId="1">
      <text>
        <r>
          <rPr>
            <sz val="10"/>
            <rFont val="Tahoma"/>
            <family val="2"/>
          </rPr>
          <t xml:space="preserve">  This is the </t>
        </r>
        <r>
          <rPr>
            <u val="single"/>
            <sz val="10"/>
            <rFont val="Tahoma"/>
            <family val="2"/>
          </rPr>
          <t>English</t>
        </r>
        <r>
          <rPr>
            <sz val="10"/>
            <rFont val="Tahoma"/>
            <family val="2"/>
          </rPr>
          <t xml:space="preserve"> </t>
        </r>
        <r>
          <rPr>
            <sz val="10"/>
            <color indexed="10"/>
            <rFont val="Tahoma"/>
            <family val="2"/>
          </rPr>
          <t>Plot Radius Factor</t>
        </r>
        <r>
          <rPr>
            <sz val="10"/>
            <rFont val="Tahoma"/>
            <family val="2"/>
          </rPr>
          <t xml:space="preserve"> for the BAF in cell F38, </t>
        </r>
        <r>
          <rPr>
            <sz val="10"/>
            <color indexed="10"/>
            <rFont val="Tahoma"/>
            <family val="2"/>
          </rPr>
          <t>in Feet per inch</t>
        </r>
        <r>
          <rPr>
            <sz val="10"/>
            <rFont val="Tahoma"/>
            <family val="2"/>
          </rPr>
          <t xml:space="preserve"> of DBH to the </t>
        </r>
        <r>
          <rPr>
            <b/>
            <sz val="10"/>
            <rFont val="Tahoma"/>
            <family val="2"/>
          </rPr>
          <t>EDGE</t>
        </r>
        <r>
          <rPr>
            <sz val="10"/>
            <rFont val="Tahoma"/>
            <family val="2"/>
          </rPr>
          <t xml:space="preserve"> of the tree.
</t>
        </r>
      </text>
    </comment>
    <comment ref="H43" authorId="1">
      <text>
        <r>
          <rPr>
            <sz val="10"/>
            <color indexed="10"/>
            <rFont val="Tahoma"/>
            <family val="2"/>
          </rPr>
          <t xml:space="preserve"> Enter the DBH in inches</t>
        </r>
        <r>
          <rPr>
            <sz val="10"/>
            <rFont val="Tahoma"/>
            <family val="2"/>
          </rPr>
          <t xml:space="preserve"> here (or in the cell below, and it will compute the "critical distance" where the tree is borderline.</t>
        </r>
      </text>
    </comment>
    <comment ref="H55" authorId="1">
      <text>
        <r>
          <rPr>
            <i/>
            <sz val="10"/>
            <color indexed="10"/>
            <rFont val="Tahoma"/>
            <family val="2"/>
          </rPr>
          <t xml:space="preserve">  Enter the </t>
        </r>
        <r>
          <rPr>
            <i/>
            <u val="single"/>
            <sz val="10"/>
            <color indexed="10"/>
            <rFont val="Tahoma"/>
            <family val="2"/>
          </rPr>
          <t>metric</t>
        </r>
        <r>
          <rPr>
            <i/>
            <sz val="10"/>
            <color indexed="10"/>
            <rFont val="Tahoma"/>
            <family val="2"/>
          </rPr>
          <t xml:space="preserve"> DBH</t>
        </r>
        <r>
          <rPr>
            <i/>
            <sz val="10"/>
            <rFont val="Tahoma"/>
            <family val="2"/>
          </rPr>
          <t xml:space="preserve"> here, and it will compute the "critical distance" to where the tree is "borderline".
  This is initialy set to the metric equivalent of the diameter in inches, and if you normally use metric measurements you might wish to reverse that.</t>
        </r>
      </text>
    </comment>
    <comment ref="B13" authorId="2">
      <text>
        <r>
          <rPr>
            <sz val="10"/>
            <rFont val="Tahoma"/>
            <family val="2"/>
          </rPr>
          <t xml:space="preserve">  Add any notes you want on this long line, starting in cell C13.  It will print when you copy the entire section.
</t>
        </r>
      </text>
    </comment>
    <comment ref="B79" authorId="1">
      <text>
        <r>
          <rPr>
            <sz val="10"/>
            <color indexed="10"/>
            <rFont val="Tahoma"/>
            <family val="2"/>
          </rPr>
          <t xml:space="preserve"> </t>
        </r>
        <r>
          <rPr>
            <u val="single"/>
            <sz val="10"/>
            <color indexed="10"/>
            <rFont val="Tahoma"/>
            <family val="2"/>
          </rPr>
          <t>Implied</t>
        </r>
        <r>
          <rPr>
            <sz val="10"/>
            <color indexed="10"/>
            <rFont val="Tahoma"/>
            <family val="2"/>
          </rPr>
          <t xml:space="preserve"> SE%</t>
        </r>
        <r>
          <rPr>
            <sz val="10"/>
            <rFont val="Tahoma"/>
            <family val="2"/>
          </rPr>
          <t xml:space="preserve"> for the *BAR portion of the compilation results.</t>
        </r>
      </text>
    </comment>
    <comment ref="H8" authorId="2">
      <text>
        <r>
          <rPr>
            <sz val="10"/>
            <rFont val="Tahoma"/>
            <family val="2"/>
          </rPr>
          <t xml:space="preserve">    With the average tree count in cell I15, use a BAF this many </t>
        </r>
        <r>
          <rPr>
            <sz val="10"/>
            <color indexed="10"/>
            <rFont val="Tahoma"/>
            <family val="2"/>
          </rPr>
          <t>times</t>
        </r>
        <r>
          <rPr>
            <sz val="10"/>
            <rFont val="Tahoma"/>
            <family val="2"/>
          </rPr>
          <t xml:space="preserve"> larger than the one for counting trees and you will automatically end up with about the right number of measured trees.
   The advantage is that the trees will be spread throughout the stand, rather than in clumps.  This is called the "Big BAF method" of selecting measured trees.</t>
        </r>
      </text>
    </comment>
    <comment ref="E21" authorId="2">
      <text>
        <r>
          <rPr>
            <sz val="10"/>
            <rFont val="Tahoma"/>
            <family val="2"/>
          </rPr>
          <t xml:space="preserve"> 
   Learn to use the "Goal Seek" function under "tools/goal seek".  It will automatically change one item until another is what you want it to be.  
   As an example, you could change the SE% until the project becomes a specific cost.</t>
        </r>
      </text>
    </comment>
    <comment ref="F21" authorId="2">
      <text>
        <r>
          <rPr>
            <sz val="10"/>
            <rFont val="Tahoma"/>
            <family val="2"/>
          </rPr>
          <t xml:space="preserve">   If you double click the icon "documentation" {about cell K8} you will get an MSWord document that explains the program.
Also, look at "Comments"</t>
        </r>
      </text>
    </comment>
    <comment ref="B73" authorId="2">
      <text>
        <r>
          <rPr>
            <sz val="10"/>
            <rFont val="Tahoma"/>
            <family val="2"/>
          </rPr>
          <t>This is the angle for the selection of the tree, in degrees, for the BAF you have entered.</t>
        </r>
      </text>
    </comment>
    <comment ref="H3" authorId="1">
      <text>
        <r>
          <rPr>
            <sz val="10"/>
            <rFont val="Tahoma"/>
            <family val="2"/>
          </rPr>
          <t xml:space="preserve">   You can </t>
        </r>
        <r>
          <rPr>
            <sz val="10"/>
            <color indexed="10"/>
            <rFont val="Tahoma"/>
            <family val="2"/>
          </rPr>
          <t>enter up to 3 fixed costs</t>
        </r>
        <r>
          <rPr>
            <sz val="10"/>
            <rFont val="Tahoma"/>
            <family val="2"/>
          </rPr>
          <t xml:space="preserve"> (in time or dollars) which are identified individually.  These will be combined with the variable costs for counts or VBARs. 
   </t>
        </r>
        <r>
          <rPr>
            <sz val="10"/>
            <color indexed="10"/>
            <rFont val="Tahoma"/>
            <family val="2"/>
          </rPr>
          <t>To clear these, use "delete" or just put in a zero</t>
        </r>
        <r>
          <rPr>
            <sz val="10"/>
            <rFont val="Tahoma"/>
            <family val="2"/>
          </rPr>
          <t xml:space="preserve">, rather than putting in a blank, which would cause computation problems.
   This cost is considered in the </t>
        </r>
        <r>
          <rPr>
            <i/>
            <sz val="10"/>
            <rFont val="Tahoma"/>
            <family val="2"/>
          </rPr>
          <t>overall</t>
        </r>
        <r>
          <rPr>
            <sz val="10"/>
            <rFont val="Tahoma"/>
            <family val="2"/>
          </rPr>
          <t xml:space="preserve"> cost and efficiency, which is different than the </t>
        </r>
        <r>
          <rPr>
            <i/>
            <sz val="10"/>
            <rFont val="Tahoma"/>
            <family val="2"/>
          </rPr>
          <t>field</t>
        </r>
        <r>
          <rPr>
            <sz val="10"/>
            <rFont val="Tahoma"/>
            <family val="2"/>
          </rPr>
          <t xml:space="preserve"> efficiency at the measurement points. </t>
        </r>
      </text>
    </comment>
    <comment ref="B1" authorId="1">
      <text>
        <r>
          <rPr>
            <sz val="10"/>
            <rFont val="Tahoma"/>
            <family val="2"/>
          </rPr>
          <t xml:space="preserve">   This section computes the </t>
        </r>
        <r>
          <rPr>
            <sz val="10"/>
            <color indexed="10"/>
            <rFont val="Tahoma"/>
            <family val="2"/>
          </rPr>
          <t>optimal ratio</t>
        </r>
        <r>
          <rPr>
            <sz val="10"/>
            <rFont val="Tahoma"/>
            <family val="2"/>
          </rPr>
          <t xml:space="preserve"> and number for </t>
        </r>
        <r>
          <rPr>
            <sz val="10"/>
            <color indexed="10"/>
            <rFont val="Tahoma"/>
            <family val="2"/>
          </rPr>
          <t>"count plots" vs. "Measurements"</t>
        </r>
        <r>
          <rPr>
            <sz val="10"/>
            <rFont val="Tahoma"/>
            <family val="2"/>
          </rPr>
          <t xml:space="preserve"> (usually, measured trees)
   This is a </t>
        </r>
        <r>
          <rPr>
            <b/>
            <sz val="10"/>
            <color indexed="8"/>
            <rFont val="Tahoma"/>
            <family val="2"/>
          </rPr>
          <t>DRAFT</t>
        </r>
        <r>
          <rPr>
            <sz val="10"/>
            <rFont val="Tahoma"/>
            <family val="2"/>
          </rPr>
          <t xml:space="preserve"> document, so check my website on the internet for the latest copy before relying on any numbers.  
(see about *BAR, cell E20)</t>
        </r>
      </text>
    </comment>
    <comment ref="I14" authorId="1">
      <text>
        <r>
          <rPr>
            <sz val="10"/>
            <rFont val="Tahoma"/>
            <family val="2"/>
          </rPr>
          <t xml:space="preserve">   If you use one BAF for counting the trees, and another one for choosing the ones to be measured, </t>
        </r>
        <r>
          <rPr>
            <sz val="10"/>
            <color indexed="10"/>
            <rFont val="Tahoma"/>
            <family val="2"/>
          </rPr>
          <t>this is how much larger the second BAF must be for choosing trees.</t>
        </r>
        <r>
          <rPr>
            <sz val="10"/>
            <rFont val="Tahoma"/>
            <family val="2"/>
          </rPr>
          <t xml:space="preserve">  It uses the number of *BAR's you intend to take from cell C16 (these will be individual trees, in this case), plus the average tree count in cell I15 to compute a value.
   If you count with a 20, then (20*multiplier) is the BAF needed for choosing the number of measured trees you want to use.</t>
        </r>
      </text>
    </comment>
    <comment ref="I23" authorId="1">
      <text>
        <r>
          <rPr>
            <sz val="10"/>
            <rFont val="Tahoma"/>
            <family val="2"/>
          </rPr>
          <t xml:space="preserve">  This is the </t>
        </r>
        <r>
          <rPr>
            <sz val="10"/>
            <color indexed="10"/>
            <rFont val="Tahoma"/>
            <family val="2"/>
          </rPr>
          <t>average tree count</t>
        </r>
        <r>
          <rPr>
            <sz val="10"/>
            <rFont val="Tahoma"/>
            <family val="2"/>
          </rPr>
          <t xml:space="preserve"> 
expected during the cruise.
   This is normally the same as the average tree count in H15, and in the </t>
        </r>
        <r>
          <rPr>
            <i/>
            <sz val="10"/>
            <rFont val="Tahoma"/>
            <family val="2"/>
          </rPr>
          <t>initial</t>
        </r>
        <r>
          <rPr>
            <sz val="10"/>
            <rFont val="Tahoma"/>
            <family val="2"/>
          </rPr>
          <t xml:space="preserve"> spreadsheet it just copied cell H15 automatically.</t>
        </r>
      </text>
    </comment>
    <comment ref="G45" authorId="1">
      <text>
        <r>
          <rPr>
            <sz val="10"/>
            <rFont val="Tahoma"/>
            <family val="2"/>
          </rPr>
          <t xml:space="preserve">  With the diameter (cell H43), and the BAF in this section (cell F38, this is the </t>
        </r>
        <r>
          <rPr>
            <sz val="10"/>
            <color indexed="10"/>
            <rFont val="Tahoma"/>
            <family val="2"/>
          </rPr>
          <t>distance at which this tree is "borderline".</t>
        </r>
        <r>
          <rPr>
            <sz val="10"/>
            <rFont val="Tahoma"/>
            <family val="2"/>
          </rPr>
          <t xml:space="preserve">  Distance is from </t>
        </r>
        <r>
          <rPr>
            <sz val="10"/>
            <color indexed="10"/>
            <rFont val="Tahoma"/>
            <family val="2"/>
          </rPr>
          <t>FACE</t>
        </r>
        <r>
          <rPr>
            <sz val="10"/>
            <rFont val="Tahoma"/>
            <family val="2"/>
          </rPr>
          <t xml:space="preserve"> of tree to the edge of plot, in </t>
        </r>
        <r>
          <rPr>
            <sz val="10"/>
            <color indexed="10"/>
            <rFont val="Tahoma"/>
            <family val="2"/>
          </rPr>
          <t>feet.</t>
        </r>
        <r>
          <rPr>
            <sz val="10"/>
            <rFont val="Tahoma"/>
            <family val="2"/>
          </rPr>
          <t xml:space="preserve">
  ------------------------------
  You can also calculate exact Plot Radius Factors from  BAFs you enter in one of the sections below this one.</t>
        </r>
      </text>
    </comment>
    <comment ref="G56" authorId="1">
      <text>
        <r>
          <rPr>
            <sz val="10"/>
            <rFont val="Tahoma"/>
            <family val="2"/>
          </rPr>
          <t xml:space="preserve">  With the diameter (cell H55), and the BAF in this section (cell F51, this is the </t>
        </r>
        <r>
          <rPr>
            <sz val="10"/>
            <color indexed="10"/>
            <rFont val="Tahoma"/>
            <family val="2"/>
          </rPr>
          <t>distance at which this tree is "borderline".</t>
        </r>
        <r>
          <rPr>
            <sz val="10"/>
            <rFont val="Tahoma"/>
            <family val="2"/>
          </rPr>
          <t xml:space="preserve">  Distance is from </t>
        </r>
        <r>
          <rPr>
            <sz val="10"/>
            <color indexed="10"/>
            <rFont val="Tahoma"/>
            <family val="2"/>
          </rPr>
          <t>CENTER</t>
        </r>
        <r>
          <rPr>
            <sz val="10"/>
            <rFont val="Tahoma"/>
            <family val="2"/>
          </rPr>
          <t xml:space="preserve"> of tree to the edge of plot, in </t>
        </r>
        <r>
          <rPr>
            <sz val="10"/>
            <color indexed="10"/>
            <rFont val="Tahoma"/>
            <family val="2"/>
          </rPr>
          <t>meters.</t>
        </r>
        <r>
          <rPr>
            <sz val="10"/>
            <rFont val="Tahoma"/>
            <family val="2"/>
          </rPr>
          <t xml:space="preserve">
  ------------------------------
  You can also calculate exact Plot Radius Factors from  BAFs you enter in one of the sections below this one.</t>
        </r>
      </text>
    </comment>
    <comment ref="G57" authorId="1">
      <text>
        <r>
          <rPr>
            <sz val="10"/>
            <rFont val="Tahoma"/>
            <family val="2"/>
          </rPr>
          <t xml:space="preserve">  With the diameter (cell H55), and the BAF in this section (cell F51, this is the </t>
        </r>
        <r>
          <rPr>
            <sz val="10"/>
            <color indexed="10"/>
            <rFont val="Tahoma"/>
            <family val="2"/>
          </rPr>
          <t>distance at which this tree is "borderline".</t>
        </r>
        <r>
          <rPr>
            <sz val="10"/>
            <rFont val="Tahoma"/>
            <family val="2"/>
          </rPr>
          <t xml:space="preserve">  Distance is from </t>
        </r>
        <r>
          <rPr>
            <sz val="10"/>
            <color indexed="10"/>
            <rFont val="Tahoma"/>
            <family val="2"/>
          </rPr>
          <t>FACE</t>
        </r>
        <r>
          <rPr>
            <sz val="10"/>
            <rFont val="Tahoma"/>
            <family val="2"/>
          </rPr>
          <t xml:space="preserve"> of tree to the edge of plot, in </t>
        </r>
        <r>
          <rPr>
            <sz val="10"/>
            <color indexed="10"/>
            <rFont val="Tahoma"/>
            <family val="2"/>
          </rPr>
          <t>meters.</t>
        </r>
        <r>
          <rPr>
            <sz val="10"/>
            <rFont val="Tahoma"/>
            <family val="2"/>
          </rPr>
          <t xml:space="preserve">
  ------------------------------
  You can also calculate exact Plot Radius Factors from  BAFs you enter in one of the sections below this one.</t>
        </r>
      </text>
    </comment>
    <comment ref="E62" authorId="1">
      <text>
        <r>
          <rPr>
            <sz val="10"/>
            <rFont val="Tahoma"/>
            <family val="2"/>
          </rPr>
          <t xml:space="preserve">  Enter any </t>
        </r>
        <r>
          <rPr>
            <sz val="10"/>
            <color indexed="10"/>
            <rFont val="Tahoma"/>
            <family val="2"/>
          </rPr>
          <t>DBH in inches</t>
        </r>
        <r>
          <rPr>
            <sz val="10"/>
            <rFont val="Tahoma"/>
            <family val="2"/>
          </rPr>
          <t xml:space="preserve"> for which you want a critical distance.</t>
        </r>
      </text>
    </comment>
    <comment ref="E69" authorId="1">
      <text>
        <r>
          <rPr>
            <sz val="10"/>
            <rFont val="Tahoma"/>
            <family val="2"/>
          </rPr>
          <t xml:space="preserve">  Enter any </t>
        </r>
        <r>
          <rPr>
            <sz val="10"/>
            <color indexed="10"/>
            <rFont val="Tahoma"/>
            <family val="2"/>
          </rPr>
          <t>DBH in centimeters</t>
        </r>
        <r>
          <rPr>
            <sz val="10"/>
            <rFont val="Tahoma"/>
            <family val="2"/>
          </rPr>
          <t xml:space="preserve"> for which you want a critical distance.</t>
        </r>
      </text>
    </comment>
    <comment ref="C66" authorId="2">
      <text>
        <r>
          <rPr>
            <sz val="10"/>
            <rFont val="Tahoma"/>
            <family val="2"/>
          </rPr>
          <t>This is the angle for the selection of the tree, in degrees, for the BAF you have entered.</t>
        </r>
      </text>
    </comment>
    <comment ref="K70" authorId="2">
      <text>
        <r>
          <rPr>
            <sz val="10"/>
            <rFont val="Tahoma"/>
            <family val="2"/>
          </rPr>
          <t xml:space="preserve">  </t>
        </r>
        <r>
          <rPr>
            <sz val="9"/>
            <color indexed="12"/>
            <rFont val="Tahoma"/>
            <family val="2"/>
          </rPr>
          <t>The gold cell below is here in case you want to make any temporary calculations.</t>
        </r>
      </text>
    </comment>
    <comment ref="I97" authorId="2">
      <text>
        <r>
          <rPr>
            <sz val="9"/>
            <rFont val="Tahoma"/>
            <family val="2"/>
          </rPr>
          <t xml:space="preserve">  This is the combined BAF for the 2 prisms together.  
   You can use section 5 to compute the arm lengths for a "stick" angle gauge to make large BAFs.</t>
        </r>
      </text>
    </comment>
    <comment ref="M2" authorId="1">
      <text>
        <r>
          <rPr>
            <sz val="10"/>
            <rFont val="Tahoma"/>
            <family val="2"/>
          </rPr>
          <t xml:space="preserve">  This will change the </t>
        </r>
        <r>
          <rPr>
            <u val="single"/>
            <sz val="10"/>
            <rFont val="Tahoma"/>
            <family val="2"/>
          </rPr>
          <t>starting point</t>
        </r>
        <r>
          <rPr>
            <sz val="10"/>
            <rFont val="Tahoma"/>
            <family val="2"/>
          </rPr>
          <t xml:space="preserve"> of the number of tree counts in cell I15.  </t>
        </r>
        <r>
          <rPr>
            <sz val="10"/>
            <color indexed="10"/>
            <rFont val="Tahoma"/>
            <family val="2"/>
          </rPr>
          <t>Enter the change you want to apply to the starting point.</t>
        </r>
      </text>
    </comment>
    <comment ref="P1" authorId="1">
      <text>
        <r>
          <rPr>
            <sz val="10"/>
            <rFont val="Tahoma"/>
            <family val="2"/>
          </rPr>
          <t xml:space="preserve">  This is the interval for the tree count numbers displayed in column I, 6-24.  </t>
        </r>
        <r>
          <rPr>
            <sz val="10"/>
            <color indexed="10"/>
            <rFont val="Tahoma"/>
            <family val="2"/>
          </rPr>
          <t>Enter the interval you want to use.</t>
        </r>
      </text>
    </comment>
    <comment ref="U1" authorId="1">
      <text>
        <r>
          <rPr>
            <sz val="10"/>
            <rFont val="Tahoma"/>
            <family val="2"/>
          </rPr>
          <t xml:space="preserve">  This is the </t>
        </r>
        <r>
          <rPr>
            <u val="single"/>
            <sz val="10"/>
            <rFont val="Tahoma"/>
            <family val="2"/>
          </rPr>
          <t>midpoint</t>
        </r>
        <r>
          <rPr>
            <sz val="10"/>
            <rFont val="Tahoma"/>
            <family val="2"/>
          </rPr>
          <t xml:space="preserve"> for the SE% (in cell Q15) and this range is displayed on some of the graphs in the Graph Worksheet.  
  </t>
        </r>
        <r>
          <rPr>
            <sz val="10"/>
            <color indexed="10"/>
            <rFont val="Tahoma"/>
            <family val="2"/>
          </rPr>
          <t>Enter the midpoint you want to use.</t>
        </r>
      </text>
    </comment>
    <comment ref="X1" authorId="1">
      <text>
        <r>
          <rPr>
            <sz val="10"/>
            <rFont val="Tahoma"/>
            <family val="2"/>
          </rPr>
          <t xml:space="preserve">  This the increment for the range in column Q.  This is displayed on the graphs, and you may want a different increment (especially if it goes negative.
  </t>
        </r>
        <r>
          <rPr>
            <sz val="10"/>
            <color indexed="10"/>
            <rFont val="Tahoma"/>
            <family val="2"/>
          </rPr>
          <t>Enter the increment you want to use.</t>
        </r>
      </text>
    </comment>
    <comment ref="C9" authorId="1">
      <text>
        <r>
          <rPr>
            <sz val="10"/>
            <rFont val="Tahoma"/>
            <family val="2"/>
          </rPr>
          <t xml:space="preserve">   This is </t>
        </r>
        <r>
          <rPr>
            <b/>
            <sz val="10"/>
            <rFont val="Tahoma"/>
            <family val="2"/>
          </rPr>
          <t>"</t>
        </r>
        <r>
          <rPr>
            <b/>
            <sz val="10"/>
            <color indexed="10"/>
            <rFont val="Tahoma"/>
            <family val="2"/>
          </rPr>
          <t>ONE</t>
        </r>
        <r>
          <rPr>
            <sz val="10"/>
            <color indexed="10"/>
            <rFont val="Tahoma"/>
            <family val="2"/>
          </rPr>
          <t xml:space="preserve"> Standard Error</t>
        </r>
        <r>
          <rPr>
            <sz val="10"/>
            <rFont val="Tahoma"/>
            <family val="2"/>
          </rPr>
          <t>" in percent.  If the total error% is 7% for 95% confidence (t=2), this would be entered as 3.5% in cell d9.</t>
        </r>
        <r>
          <rPr>
            <sz val="10"/>
            <rFont val="Tahoma"/>
            <family val="0"/>
          </rPr>
          <t xml:space="preserve">
</t>
        </r>
      </text>
    </comment>
    <comment ref="H50" authorId="2">
      <text>
        <r>
          <rPr>
            <sz val="9"/>
            <rFont val="Tahoma"/>
            <family val="2"/>
          </rPr>
          <t xml:space="preserve">    If you are calibrating a target held at arms length : fill in the </t>
        </r>
        <r>
          <rPr>
            <b/>
            <sz val="9"/>
            <color indexed="12"/>
            <rFont val="Tahoma"/>
            <family val="2"/>
          </rPr>
          <t>distance (in meters)</t>
        </r>
        <r>
          <rPr>
            <sz val="9"/>
            <rFont val="Tahoma"/>
            <family val="2"/>
          </rPr>
          <t xml:space="preserve"> from your eye to where you will hold the target and the </t>
        </r>
        <r>
          <rPr>
            <b/>
            <sz val="9"/>
            <rFont val="Tahoma"/>
            <family val="2"/>
          </rPr>
          <t>BAF</t>
        </r>
        <r>
          <rPr>
            <sz val="9"/>
            <rFont val="Tahoma"/>
            <family val="2"/>
          </rPr>
          <t xml:space="preserve"> desired - this calculates the width of target to use (in cm).</t>
        </r>
      </text>
    </comment>
    <comment ref="H14" authorId="3">
      <text>
        <r>
          <rPr>
            <sz val="8"/>
            <rFont val="Tahoma"/>
            <family val="2"/>
          </rPr>
          <t>This is the BAF multiplier using the information in C15/16.</t>
        </r>
      </text>
    </comment>
  </commentList>
</comments>
</file>

<file path=xl/comments2.xml><?xml version="1.0" encoding="utf-8"?>
<comments xmlns="http://schemas.openxmlformats.org/spreadsheetml/2006/main">
  <authors>
    <author>Kim Iles &amp; Associates Ltd.</author>
  </authors>
  <commentList>
    <comment ref="A6" authorId="0">
      <text>
        <r>
          <rPr>
            <sz val="10"/>
            <rFont val="Tahoma"/>
            <family val="2"/>
          </rPr>
          <t xml:space="preserve">  This is the </t>
        </r>
        <r>
          <rPr>
            <sz val="10"/>
            <color indexed="10"/>
            <rFont val="Tahoma"/>
            <family val="2"/>
          </rPr>
          <t xml:space="preserve">number of </t>
        </r>
        <r>
          <rPr>
            <u val="single"/>
            <sz val="10"/>
            <color indexed="10"/>
            <rFont val="Tahoma"/>
            <family val="2"/>
          </rPr>
          <t>count plots</t>
        </r>
        <r>
          <rPr>
            <sz val="10"/>
            <color indexed="10"/>
            <rFont val="Tahoma"/>
            <family val="2"/>
          </rPr>
          <t xml:space="preserve"> (O) and measured (+) </t>
        </r>
        <r>
          <rPr>
            <u val="single"/>
            <sz val="10"/>
            <color indexed="10"/>
            <rFont val="Tahoma"/>
            <family val="2"/>
          </rPr>
          <t>VBARS</t>
        </r>
        <r>
          <rPr>
            <sz val="10"/>
            <color indexed="10"/>
            <rFont val="Tahoma"/>
            <family val="2"/>
          </rPr>
          <t xml:space="preserve"> you would need for a variety of SE%'s</t>
        </r>
        <r>
          <rPr>
            <sz val="10"/>
            <rFont val="Tahoma"/>
            <family val="2"/>
          </rPr>
          <t xml:space="preserve"> on each side of the SE% you entered (at the optimal ratio).
  The graphs that follow show you other options.
  If you want to change the range or midpoint that is shown, change the numbers in cells (T1 or W1) in the data entry worksheet.</t>
        </r>
      </text>
    </comment>
    <comment ref="A30" authorId="0">
      <text>
        <r>
          <rPr>
            <sz val="10"/>
            <rFont val="Tahoma"/>
            <family val="2"/>
          </rPr>
          <t xml:space="preserve">  This is the </t>
        </r>
        <r>
          <rPr>
            <sz val="10"/>
            <color indexed="10"/>
            <rFont val="Tahoma"/>
            <family val="2"/>
          </rPr>
          <t xml:space="preserve">number of plots needed if you measure </t>
        </r>
        <r>
          <rPr>
            <u val="single"/>
            <sz val="10"/>
            <color indexed="10"/>
            <rFont val="Tahoma"/>
            <family val="2"/>
          </rPr>
          <t>all trees on all plots</t>
        </r>
        <r>
          <rPr>
            <sz val="10"/>
            <rFont val="Tahoma"/>
            <family val="2"/>
          </rPr>
          <t xml:space="preserve"> for a variety of SE%'s on each side of the SE% you
 entered.
  There will be fewer plots, but usually far more tree measurements, and more cost.
  </t>
        </r>
      </text>
    </comment>
    <comment ref="A55" authorId="0">
      <text>
        <r>
          <rPr>
            <sz val="10"/>
            <rFont val="Tahoma"/>
            <family val="2"/>
          </rPr>
          <t xml:space="preserve">  This is the dollar (or time) </t>
        </r>
        <r>
          <rPr>
            <sz val="10"/>
            <color indexed="10"/>
            <rFont val="Tahoma"/>
            <family val="2"/>
          </rPr>
          <t>cost of a variety of SE%'s.</t>
        </r>
        <r>
          <rPr>
            <sz val="10"/>
            <rFont val="Tahoma"/>
            <family val="2"/>
          </rPr>
          <t xml:space="preserve"> The </t>
        </r>
        <r>
          <rPr>
            <sz val="10"/>
            <color indexed="10"/>
            <rFont val="Tahoma"/>
            <family val="2"/>
          </rPr>
          <t>optimal ratio</t>
        </r>
        <r>
          <rPr>
            <sz val="10"/>
            <rFont val="Tahoma"/>
            <family val="2"/>
          </rPr>
          <t xml:space="preserve"> has been used for this calculation.  This saves you the time of filling in all the SE% options in the top section of the data entry worksheet.</t>
        </r>
      </text>
    </comment>
    <comment ref="A78" authorId="0">
      <text>
        <r>
          <rPr>
            <sz val="10"/>
            <rFont val="Tahoma"/>
            <family val="2"/>
          </rPr>
          <t xml:space="preserve">  This is the </t>
        </r>
        <r>
          <rPr>
            <sz val="10"/>
            <color indexed="10"/>
            <rFont val="Tahoma"/>
            <family val="2"/>
          </rPr>
          <t>cost for a variety of SE%'s</t>
        </r>
        <r>
          <rPr>
            <sz val="10"/>
            <rFont val="Tahoma"/>
            <family val="2"/>
          </rPr>
          <t xml:space="preserve"> on each side of the SE% you entered, using 3 options.
     1)  The Optimum ratio (+)
     2)  The ratio in your "test" section (square).
     3)  Measuring all trees on all points (0)
</t>
        </r>
      </text>
    </comment>
    <comment ref="A101" authorId="0">
      <text>
        <r>
          <rPr>
            <sz val="10"/>
            <rFont val="Tahoma"/>
            <family val="2"/>
          </rPr>
          <t xml:space="preserve">  This is the </t>
        </r>
        <r>
          <rPr>
            <u val="double"/>
            <sz val="10"/>
            <color indexed="10"/>
            <rFont val="Tahoma"/>
            <family val="2"/>
          </rPr>
          <t>Total</t>
        </r>
        <r>
          <rPr>
            <sz val="10"/>
            <color indexed="10"/>
            <rFont val="Tahoma"/>
            <family val="2"/>
          </rPr>
          <t xml:space="preserve"> </t>
        </r>
        <r>
          <rPr>
            <u val="single"/>
            <sz val="10"/>
            <color indexed="10"/>
            <rFont val="Tahoma"/>
            <family val="2"/>
          </rPr>
          <t>Dollar or Time</t>
        </r>
        <r>
          <rPr>
            <sz val="10"/>
            <color indexed="10"/>
            <rFont val="Tahoma"/>
            <family val="2"/>
          </rPr>
          <t xml:space="preserve"> cost of the cruise, using a range of "Count : Measure Ratios" (+ signs), </t>
        </r>
        <r>
          <rPr>
            <sz val="10"/>
            <color indexed="18"/>
            <rFont val="Tahoma"/>
            <family val="2"/>
          </rPr>
          <t>to get the</t>
        </r>
        <r>
          <rPr>
            <sz val="10"/>
            <color indexed="10"/>
            <rFont val="Tahoma"/>
            <family val="2"/>
          </rPr>
          <t xml:space="preserve"> same SE% </t>
        </r>
        <r>
          <rPr>
            <sz val="10"/>
            <color indexed="18"/>
            <rFont val="Tahoma"/>
            <family val="2"/>
          </rPr>
          <t>you entered in the optimum calculation section (cell C9).</t>
        </r>
        <r>
          <rPr>
            <sz val="10"/>
            <rFont val="Tahoma"/>
            <family val="2"/>
          </rPr>
          <t xml:space="preserve">
  It </t>
        </r>
        <r>
          <rPr>
            <u val="single"/>
            <sz val="10"/>
            <rFont val="Tahoma"/>
            <family val="2"/>
          </rPr>
          <t>also</t>
        </r>
        <r>
          <rPr>
            <sz val="10"/>
            <rFont val="Tahoma"/>
            <family val="2"/>
          </rPr>
          <t xml:space="preserve"> shows (large circle) the cost of measuring </t>
        </r>
        <r>
          <rPr>
            <sz val="10"/>
            <color indexed="10"/>
            <rFont val="Tahoma"/>
            <family val="2"/>
          </rPr>
          <t>all trees on all plots,</t>
        </r>
        <r>
          <rPr>
            <sz val="10"/>
            <rFont val="Tahoma"/>
            <family val="2"/>
          </rPr>
          <t xml:space="preserve"> to get that same SE%.
  The </t>
        </r>
        <r>
          <rPr>
            <sz val="10"/>
            <color indexed="10"/>
            <rFont val="Tahoma"/>
            <family val="2"/>
          </rPr>
          <t>test numbers</t>
        </r>
        <r>
          <rPr>
            <sz val="10"/>
            <rFont val="Tahoma"/>
            <family val="2"/>
          </rPr>
          <t xml:space="preserve"> (square) you entered are also shown, </t>
        </r>
        <r>
          <rPr>
            <u val="single"/>
            <sz val="10"/>
            <rFont val="Tahoma"/>
            <family val="2"/>
          </rPr>
          <t>note</t>
        </r>
        <r>
          <rPr>
            <sz val="10"/>
            <rFont val="Tahoma"/>
            <family val="2"/>
          </rPr>
          <t xml:space="preserve"> that this option </t>
        </r>
        <r>
          <rPr>
            <sz val="10"/>
            <color indexed="10"/>
            <rFont val="Tahoma"/>
            <family val="2"/>
          </rPr>
          <t>may produce a different SE%,</t>
        </r>
        <r>
          <rPr>
            <sz val="10"/>
            <rFont val="Tahoma"/>
            <family val="2"/>
          </rPr>
          <t xml:space="preserve"> unless you have entered the number in small italics in that section to insure that it is the same.</t>
        </r>
      </text>
    </comment>
    <comment ref="A124" authorId="0">
      <text>
        <r>
          <rPr>
            <sz val="10"/>
            <rFont val="Tahoma"/>
            <family val="2"/>
          </rPr>
          <t xml:space="preserve">  This is the </t>
        </r>
        <r>
          <rPr>
            <u val="double"/>
            <sz val="10"/>
            <color indexed="10"/>
            <rFont val="Tahoma"/>
            <family val="2"/>
          </rPr>
          <t>Relative</t>
        </r>
        <r>
          <rPr>
            <sz val="10"/>
            <color indexed="10"/>
            <rFont val="Tahoma"/>
            <family val="2"/>
          </rPr>
          <t xml:space="preserve"> Dollar or Time cost of the cruise, using a range (+) of "Count : Measure Ratios", </t>
        </r>
        <r>
          <rPr>
            <sz val="10"/>
            <color indexed="18"/>
            <rFont val="Tahoma"/>
            <family val="2"/>
          </rPr>
          <t>to get the</t>
        </r>
        <r>
          <rPr>
            <sz val="10"/>
            <color indexed="10"/>
            <rFont val="Tahoma"/>
            <family val="2"/>
          </rPr>
          <t xml:space="preserve"> same SE% </t>
        </r>
        <r>
          <rPr>
            <sz val="10"/>
            <color indexed="18"/>
            <rFont val="Tahoma"/>
            <family val="2"/>
          </rPr>
          <t>you entered in the optimum calculation section (cell C9).</t>
        </r>
        <r>
          <rPr>
            <sz val="10"/>
            <rFont val="Tahoma"/>
            <family val="2"/>
          </rPr>
          <t xml:space="preserve">
  It </t>
        </r>
        <r>
          <rPr>
            <u val="single"/>
            <sz val="10"/>
            <rFont val="Tahoma"/>
            <family val="2"/>
          </rPr>
          <t>also</t>
        </r>
        <r>
          <rPr>
            <sz val="10"/>
            <rFont val="Tahoma"/>
            <family val="2"/>
          </rPr>
          <t xml:space="preserve"> shows (large circle) the cost of measuring </t>
        </r>
        <r>
          <rPr>
            <sz val="10"/>
            <color indexed="10"/>
            <rFont val="Tahoma"/>
            <family val="2"/>
          </rPr>
          <t>all trees on all plots,</t>
        </r>
        <r>
          <rPr>
            <sz val="10"/>
            <rFont val="Tahoma"/>
            <family val="2"/>
          </rPr>
          <t xml:space="preserve"> to get that same SE%.
  The </t>
        </r>
        <r>
          <rPr>
            <sz val="10"/>
            <color indexed="10"/>
            <rFont val="Tahoma"/>
            <family val="2"/>
          </rPr>
          <t>test numbers</t>
        </r>
        <r>
          <rPr>
            <sz val="10"/>
            <rFont val="Tahoma"/>
            <family val="2"/>
          </rPr>
          <t xml:space="preserve"> (square) you entered are also shown, </t>
        </r>
        <r>
          <rPr>
            <u val="single"/>
            <sz val="10"/>
            <rFont val="Tahoma"/>
            <family val="2"/>
          </rPr>
          <t>note</t>
        </r>
        <r>
          <rPr>
            <sz val="10"/>
            <rFont val="Tahoma"/>
            <family val="2"/>
          </rPr>
          <t xml:space="preserve"> that This option </t>
        </r>
        <r>
          <rPr>
            <sz val="10"/>
            <color indexed="10"/>
            <rFont val="Tahoma"/>
            <family val="2"/>
          </rPr>
          <t>may produce a different SE%,</t>
        </r>
        <r>
          <rPr>
            <sz val="10"/>
            <rFont val="Tahoma"/>
            <family val="2"/>
          </rPr>
          <t xml:space="preserve"> unless you have entered the number in small italics in that section to insure that it is the same.</t>
        </r>
      </text>
    </comment>
  </commentList>
</comments>
</file>

<file path=xl/comments3.xml><?xml version="1.0" encoding="utf-8"?>
<comments xmlns="http://schemas.openxmlformats.org/spreadsheetml/2006/main">
  <authors>
    <author>Kim Iles &amp; Associates Ltd.</author>
    <author>*</author>
    <author>Kim Iles &amp; Associates</author>
    <author>Kim Iles</author>
  </authors>
  <commentList>
    <comment ref="B1" authorId="0">
      <text>
        <r>
          <rPr>
            <sz val="10"/>
            <rFont val="Tahoma"/>
            <family val="2"/>
          </rPr>
          <t xml:space="preserve">   This section computes the </t>
        </r>
        <r>
          <rPr>
            <sz val="10"/>
            <color indexed="10"/>
            <rFont val="Tahoma"/>
            <family val="2"/>
          </rPr>
          <t>optimal ratio</t>
        </r>
        <r>
          <rPr>
            <sz val="10"/>
            <rFont val="Tahoma"/>
            <family val="2"/>
          </rPr>
          <t xml:space="preserve"> and number for </t>
        </r>
        <r>
          <rPr>
            <sz val="10"/>
            <color indexed="10"/>
            <rFont val="Tahoma"/>
            <family val="2"/>
          </rPr>
          <t>"count plots" vs. "Measurements"</t>
        </r>
        <r>
          <rPr>
            <sz val="10"/>
            <rFont val="Tahoma"/>
            <family val="2"/>
          </rPr>
          <t xml:space="preserve"> (usually, measured trees)
   This is a </t>
        </r>
        <r>
          <rPr>
            <b/>
            <sz val="10"/>
            <color indexed="8"/>
            <rFont val="Tahoma"/>
            <family val="2"/>
          </rPr>
          <t>DRAFT</t>
        </r>
        <r>
          <rPr>
            <sz val="10"/>
            <rFont val="Tahoma"/>
            <family val="2"/>
          </rPr>
          <t xml:space="preserve"> document, so check my website on the internet for the latest copy before relying on any numbers.  
(see about *BAR, cell E20)</t>
        </r>
      </text>
    </comment>
    <comment ref="N1" authorId="0">
      <text>
        <r>
          <rPr>
            <sz val="10"/>
            <rFont val="Tahoma"/>
            <family val="2"/>
          </rPr>
          <t xml:space="preserve">  This is the </t>
        </r>
        <r>
          <rPr>
            <sz val="10"/>
            <color indexed="10"/>
            <rFont val="Tahoma"/>
            <family val="2"/>
          </rPr>
          <t>midpoint interval</t>
        </r>
        <r>
          <rPr>
            <sz val="10"/>
            <rFont val="Tahoma"/>
            <family val="2"/>
          </rPr>
          <t xml:space="preserve"> for displaying data on some of the graphs.  It is copied from cell B11, but </t>
        </r>
        <r>
          <rPr>
            <sz val="10"/>
            <color indexed="10"/>
            <rFont val="Tahoma"/>
            <family val="2"/>
          </rPr>
          <t xml:space="preserve">you can change the midpoint </t>
        </r>
        <r>
          <rPr>
            <sz val="10"/>
            <color indexed="18"/>
            <rFont val="Tahoma"/>
            <family val="2"/>
          </rPr>
          <t xml:space="preserve">by </t>
        </r>
        <r>
          <rPr>
            <sz val="10"/>
            <rFont val="Tahoma"/>
            <family val="2"/>
          </rPr>
          <t xml:space="preserve">using the increment in cell L2.  If you put in -20, the midpoint will be shifted down to 20. </t>
        </r>
      </text>
    </comment>
    <comment ref="P1" authorId="0">
      <text>
        <r>
          <rPr>
            <sz val="10"/>
            <rFont val="Tahoma"/>
            <family val="2"/>
          </rPr>
          <t xml:space="preserve">  This is the interval for the tree count numbers displayed in column I, 6-24.  </t>
        </r>
        <r>
          <rPr>
            <sz val="10"/>
            <color indexed="10"/>
            <rFont val="Tahoma"/>
            <family val="2"/>
          </rPr>
          <t>Enter the interval you want to use.</t>
        </r>
      </text>
    </comment>
    <comment ref="U1" authorId="0">
      <text>
        <r>
          <rPr>
            <sz val="10"/>
            <rFont val="Tahoma"/>
            <family val="2"/>
          </rPr>
          <t xml:space="preserve">  This is the </t>
        </r>
        <r>
          <rPr>
            <u val="single"/>
            <sz val="10"/>
            <rFont val="Tahoma"/>
            <family val="2"/>
          </rPr>
          <t>midpoint</t>
        </r>
        <r>
          <rPr>
            <sz val="10"/>
            <rFont val="Tahoma"/>
            <family val="2"/>
          </rPr>
          <t xml:space="preserve"> for the SE% (in cell Q15) and this range is displayed on some of the graphs in the Graph Worksheet.  
  </t>
        </r>
        <r>
          <rPr>
            <sz val="10"/>
            <color indexed="10"/>
            <rFont val="Tahoma"/>
            <family val="2"/>
          </rPr>
          <t>Enter the midpoint you want to use.</t>
        </r>
      </text>
    </comment>
    <comment ref="X1" authorId="0">
      <text>
        <r>
          <rPr>
            <sz val="10"/>
            <rFont val="Tahoma"/>
            <family val="2"/>
          </rPr>
          <t xml:space="preserve">  This the increment for the range in column Q.  This is displayed on the graphs, and you may want a different increment (especially if it goes negative.
  </t>
        </r>
        <r>
          <rPr>
            <sz val="10"/>
            <color indexed="10"/>
            <rFont val="Tahoma"/>
            <family val="2"/>
          </rPr>
          <t>Enter the increment you want to use.</t>
        </r>
      </text>
    </comment>
    <comment ref="M2" authorId="0">
      <text>
        <r>
          <rPr>
            <sz val="10"/>
            <rFont val="Tahoma"/>
            <family val="2"/>
          </rPr>
          <t xml:space="preserve">  This will change the </t>
        </r>
        <r>
          <rPr>
            <u val="single"/>
            <sz val="10"/>
            <rFont val="Tahoma"/>
            <family val="2"/>
          </rPr>
          <t>starting point</t>
        </r>
        <r>
          <rPr>
            <sz val="10"/>
            <rFont val="Tahoma"/>
            <family val="2"/>
          </rPr>
          <t xml:space="preserve"> of the number of tree counts in cell I15.  </t>
        </r>
        <r>
          <rPr>
            <sz val="10"/>
            <color indexed="10"/>
            <rFont val="Tahoma"/>
            <family val="2"/>
          </rPr>
          <t>Enter the change you want to apply to the starting point.</t>
        </r>
      </text>
    </comment>
    <comment ref="B3" authorId="0">
      <text>
        <r>
          <rPr>
            <sz val="10"/>
            <rFont val="Tahoma"/>
            <family val="2"/>
          </rPr>
          <t xml:space="preserve">  This is the </t>
        </r>
        <r>
          <rPr>
            <sz val="10"/>
            <color indexed="10"/>
            <rFont val="Tahoma"/>
            <family val="2"/>
          </rPr>
          <t>CV of the TREE COUNT</t>
        </r>
        <r>
          <rPr>
            <sz val="10"/>
            <rFont val="Tahoma"/>
            <family val="2"/>
          </rPr>
          <t xml:space="preserve"> </t>
        </r>
        <r>
          <rPr>
            <sz val="10"/>
            <color indexed="10"/>
            <rFont val="Tahoma"/>
            <family val="2"/>
          </rPr>
          <t>from point to point.</t>
        </r>
        <r>
          <rPr>
            <sz val="10"/>
            <rFont val="Tahoma"/>
            <family val="2"/>
          </rPr>
          <t xml:space="preserve"> 
  It can be quickly calculated using a hand calculator from past data (either for total tree count, or for tree count by species).
  In most cases, you would use the total tree count.</t>
        </r>
        <r>
          <rPr>
            <sz val="10"/>
            <rFont val="Tahoma"/>
            <family val="0"/>
          </rPr>
          <t xml:space="preserve">
</t>
        </r>
      </text>
    </comment>
    <comment ref="D3" authorId="0">
      <text>
        <r>
          <rPr>
            <sz val="10"/>
            <rFont val="Tahoma"/>
            <family val="2"/>
          </rPr>
          <t xml:space="preserve">  Insert </t>
        </r>
        <r>
          <rPr>
            <sz val="10"/>
            <color indexed="10"/>
            <rFont val="Tahoma"/>
            <family val="2"/>
          </rPr>
          <t>cost</t>
        </r>
        <r>
          <rPr>
            <sz val="10"/>
            <rFont val="Tahoma"/>
            <family val="2"/>
          </rPr>
          <t xml:space="preserve"> for making a </t>
        </r>
        <r>
          <rPr>
            <sz val="10"/>
            <color indexed="10"/>
            <rFont val="Tahoma"/>
            <family val="2"/>
          </rPr>
          <t>tree count,</t>
        </r>
        <r>
          <rPr>
            <sz val="10"/>
            <rFont val="Tahoma"/>
            <family val="2"/>
          </rPr>
          <t xml:space="preserve"> in dollars or time.
  You </t>
        </r>
        <r>
          <rPr>
            <i/>
            <sz val="10"/>
            <rFont val="Tahoma"/>
            <family val="2"/>
          </rPr>
          <t>could</t>
        </r>
        <r>
          <rPr>
            <sz val="10"/>
            <rFont val="Tahoma"/>
            <family val="2"/>
          </rPr>
          <t xml:space="preserve"> also include the travel time between plots in this amount, but the cost of traveling the area is probably a </t>
        </r>
        <r>
          <rPr>
            <u val="single"/>
            <sz val="10"/>
            <rFont val="Tahoma"/>
            <family val="2"/>
          </rPr>
          <t>fixed</t>
        </r>
        <r>
          <rPr>
            <sz val="10"/>
            <rFont val="Tahoma"/>
            <family val="2"/>
          </rPr>
          <t xml:space="preserve"> cost, since you have to cover the area with any sampling scheme.  This is probably the cost of stopping just for the purpose of taking a tree count.</t>
        </r>
      </text>
    </comment>
    <comment ref="H3" authorId="0">
      <text>
        <r>
          <rPr>
            <sz val="10"/>
            <rFont val="Tahoma"/>
            <family val="2"/>
          </rPr>
          <t xml:space="preserve">   You can </t>
        </r>
        <r>
          <rPr>
            <sz val="10"/>
            <color indexed="10"/>
            <rFont val="Tahoma"/>
            <family val="2"/>
          </rPr>
          <t>enter up to 3 fixed costs</t>
        </r>
        <r>
          <rPr>
            <sz val="10"/>
            <rFont val="Tahoma"/>
            <family val="2"/>
          </rPr>
          <t xml:space="preserve"> (in time or dollars) which are identified individually.  These will be combined with the variable costs for counts or VBARs. 
   </t>
        </r>
        <r>
          <rPr>
            <sz val="10"/>
            <color indexed="10"/>
            <rFont val="Tahoma"/>
            <family val="2"/>
          </rPr>
          <t>To clear these, use "delete" or just put in a zero</t>
        </r>
        <r>
          <rPr>
            <sz val="10"/>
            <rFont val="Tahoma"/>
            <family val="2"/>
          </rPr>
          <t xml:space="preserve">, rather than putting in a blank, which would cause computation problems.
   This cost is considered in the </t>
        </r>
        <r>
          <rPr>
            <i/>
            <sz val="10"/>
            <rFont val="Tahoma"/>
            <family val="2"/>
          </rPr>
          <t>overall</t>
        </r>
        <r>
          <rPr>
            <sz val="10"/>
            <rFont val="Tahoma"/>
            <family val="2"/>
          </rPr>
          <t xml:space="preserve"> cost and efficiency, which is different than the </t>
        </r>
        <r>
          <rPr>
            <i/>
            <sz val="10"/>
            <rFont val="Tahoma"/>
            <family val="2"/>
          </rPr>
          <t>field</t>
        </r>
        <r>
          <rPr>
            <sz val="10"/>
            <rFont val="Tahoma"/>
            <family val="2"/>
          </rPr>
          <t xml:space="preserve"> efficiency at the measurement points. </t>
        </r>
      </text>
    </comment>
    <comment ref="B5" authorId="0">
      <text>
        <r>
          <rPr>
            <b/>
            <sz val="10"/>
            <color indexed="10"/>
            <rFont val="Tahoma"/>
            <family val="2"/>
          </rPr>
          <t>This is the CV of the *BAR ratio.</t>
        </r>
        <r>
          <rPr>
            <sz val="10"/>
            <rFont val="Tahoma"/>
            <family val="2"/>
          </rPr>
          <t xml:space="preserve">
  In most cases, this ratio will be the </t>
        </r>
        <r>
          <rPr>
            <sz val="10"/>
            <color indexed="10"/>
            <rFont val="Tahoma"/>
            <family val="2"/>
          </rPr>
          <t>tree Volume</t>
        </r>
        <r>
          <rPr>
            <sz val="10"/>
            <rFont val="Tahoma"/>
            <family val="2"/>
          </rPr>
          <t xml:space="preserve"> divided by the </t>
        </r>
        <r>
          <rPr>
            <sz val="10"/>
            <color indexed="10"/>
            <rFont val="Tahoma"/>
            <family val="2"/>
          </rPr>
          <t>Basal Area</t>
        </r>
        <r>
          <rPr>
            <sz val="10"/>
            <rFont val="Tahoma"/>
            <family val="2"/>
          </rPr>
          <t xml:space="preserve"> for trees in your Variable Plot sample.
       [  </t>
        </r>
        <r>
          <rPr>
            <u val="single"/>
            <sz val="10"/>
            <rFont val="Tahoma"/>
            <family val="2"/>
          </rPr>
          <t>roughly,</t>
        </r>
        <r>
          <rPr>
            <sz val="10"/>
            <rFont val="Tahoma"/>
            <family val="2"/>
          </rPr>
          <t xml:space="preserve"> for </t>
        </r>
        <r>
          <rPr>
            <i/>
            <sz val="10"/>
            <rFont val="Tahoma"/>
            <family val="2"/>
          </rPr>
          <t>gross</t>
        </r>
        <r>
          <rPr>
            <sz val="10"/>
            <rFont val="Tahoma"/>
            <family val="2"/>
          </rPr>
          <t xml:space="preserve"> VBAR, use CV of tree height, and 
          for </t>
        </r>
        <r>
          <rPr>
            <i/>
            <sz val="10"/>
            <rFont val="Tahoma"/>
            <family val="2"/>
          </rPr>
          <t>Net</t>
        </r>
        <r>
          <rPr>
            <sz val="10"/>
            <rFont val="Tahoma"/>
            <family val="2"/>
          </rPr>
          <t xml:space="preserve"> VBAR, use CV of {tree height * % sound}   ]
Since </t>
        </r>
        <r>
          <rPr>
            <i/>
            <sz val="10"/>
            <rFont val="Tahoma"/>
            <family val="2"/>
          </rPr>
          <t>many</t>
        </r>
        <r>
          <rPr>
            <sz val="10"/>
            <rFont val="Tahoma"/>
            <family val="2"/>
          </rPr>
          <t xml:space="preserve"> items could be divided by the BA, I use the general term "</t>
        </r>
        <r>
          <rPr>
            <sz val="10"/>
            <color indexed="10"/>
            <rFont val="Tahoma"/>
            <family val="2"/>
          </rPr>
          <t>*</t>
        </r>
        <r>
          <rPr>
            <sz val="10"/>
            <rFont val="Tahoma"/>
            <family val="2"/>
          </rPr>
          <t xml:space="preserve">BAR".
  You might also want to use the </t>
        </r>
        <r>
          <rPr>
            <sz val="10"/>
            <color indexed="10"/>
            <rFont val="Tahoma"/>
            <family val="2"/>
          </rPr>
          <t>Dollar value</t>
        </r>
        <r>
          <rPr>
            <sz val="10"/>
            <rFont val="Tahoma"/>
            <family val="2"/>
          </rPr>
          <t xml:space="preserve"> divided by the BA of the tree (called $BAR).  Entering this, you can compute the most efficient cruise for stand </t>
        </r>
        <r>
          <rPr>
            <sz val="10"/>
            <color indexed="10"/>
            <rFont val="Tahoma"/>
            <family val="2"/>
          </rPr>
          <t>value</t>
        </r>
        <r>
          <rPr>
            <sz val="10"/>
            <rFont val="Tahoma"/>
            <family val="2"/>
          </rPr>
          <t xml:space="preserve">.  This avoids the complexity of trying to work with the grades of logs, by combining them into a single number that reflects tree value (the main issue with grades anyway).
--------------------------------------
   If you choose to measure </t>
        </r>
        <r>
          <rPr>
            <sz val="10"/>
            <color indexed="10"/>
            <rFont val="Tahoma"/>
            <family val="2"/>
          </rPr>
          <t>all</t>
        </r>
        <r>
          <rPr>
            <sz val="10"/>
            <rFont val="Tahoma"/>
            <family val="2"/>
          </rPr>
          <t xml:space="preserve"> the trees at </t>
        </r>
        <r>
          <rPr>
            <sz val="10"/>
            <color indexed="10"/>
            <rFont val="Tahoma"/>
            <family val="2"/>
          </rPr>
          <t>some</t>
        </r>
        <r>
          <rPr>
            <sz val="10"/>
            <rFont val="Tahoma"/>
            <family val="2"/>
          </rPr>
          <t xml:space="preserve"> </t>
        </r>
        <r>
          <rPr>
            <sz val="10"/>
            <color indexed="10"/>
            <rFont val="Tahoma"/>
            <family val="2"/>
          </rPr>
          <t>sample points,</t>
        </r>
        <r>
          <rPr>
            <sz val="10"/>
            <rFont val="Tahoma"/>
            <family val="2"/>
          </rPr>
          <t xml:space="preserve"> you </t>
        </r>
        <r>
          <rPr>
            <u val="single"/>
            <sz val="10"/>
            <rFont val="Tahoma"/>
            <family val="2"/>
          </rPr>
          <t>could</t>
        </r>
        <r>
          <rPr>
            <sz val="10"/>
            <rFont val="Tahoma"/>
            <family val="2"/>
          </rPr>
          <t xml:space="preserve"> enter the CV of the </t>
        </r>
        <r>
          <rPr>
            <u val="single"/>
            <sz val="10"/>
            <rFont val="Tahoma"/>
            <family val="2"/>
          </rPr>
          <t>average</t>
        </r>
        <r>
          <rPr>
            <sz val="10"/>
            <rFont val="Tahoma"/>
            <family val="2"/>
          </rPr>
          <t xml:space="preserve"> *BAR at these points, and thereby calculate the number of fully measured sample points.
 </t>
        </r>
        <r>
          <rPr>
            <sz val="10"/>
            <color indexed="10"/>
            <rFont val="Tahoma"/>
            <family val="2"/>
          </rPr>
          <t xml:space="preserve">  For practical purposes,</t>
        </r>
        <r>
          <rPr>
            <sz val="10"/>
            <rFont val="Tahoma"/>
            <family val="2"/>
          </rPr>
          <t xml:space="preserve"> most people compute the </t>
        </r>
        <r>
          <rPr>
            <i/>
            <sz val="10"/>
            <rFont val="Tahoma"/>
            <family val="2"/>
          </rPr>
          <t xml:space="preserve">number of trees </t>
        </r>
        <r>
          <rPr>
            <sz val="10"/>
            <rFont val="Tahoma"/>
            <family val="2"/>
          </rPr>
          <t>using the</t>
        </r>
        <r>
          <rPr>
            <i/>
            <sz val="10"/>
            <rFont val="Tahoma"/>
            <family val="2"/>
          </rPr>
          <t xml:space="preserve"> individual tree VBAR,</t>
        </r>
        <r>
          <rPr>
            <sz val="10"/>
            <rFont val="Tahoma"/>
            <family val="2"/>
          </rPr>
          <t xml:space="preserve"> </t>
        </r>
        <r>
          <rPr>
            <i/>
            <sz val="10"/>
            <rFont val="Tahoma"/>
            <family val="2"/>
          </rPr>
          <t>then divide that by the average number of trees/point</t>
        </r>
        <r>
          <rPr>
            <sz val="10"/>
            <rFont val="Tahoma"/>
            <family val="2"/>
          </rPr>
          <t xml:space="preserve"> to find the number of points where you measure </t>
        </r>
        <r>
          <rPr>
            <i/>
            <sz val="10"/>
            <rFont val="Tahoma"/>
            <family val="2"/>
          </rPr>
          <t>all</t>
        </r>
        <r>
          <rPr>
            <sz val="10"/>
            <rFont val="Tahoma"/>
            <family val="2"/>
          </rPr>
          <t xml:space="preserve"> the trees.  This is not as efficient as spreading the trees throughout the stand (using a second BAF, for instance) to select the sample trees.  There is usually a way to work the computer program which will allow you to use  "distributed VBARs" gathered in this way.</t>
        </r>
      </text>
    </comment>
    <comment ref="D5" authorId="0">
      <text>
        <r>
          <rPr>
            <sz val="10"/>
            <rFont val="Arial"/>
            <family val="2"/>
          </rPr>
          <t xml:space="preserve">  Insert </t>
        </r>
        <r>
          <rPr>
            <sz val="10"/>
            <color indexed="10"/>
            <rFont val="Arial"/>
            <family val="2"/>
          </rPr>
          <t>cost</t>
        </r>
        <r>
          <rPr>
            <sz val="10"/>
            <rFont val="Arial"/>
            <family val="2"/>
          </rPr>
          <t xml:space="preserve"> </t>
        </r>
        <r>
          <rPr>
            <sz val="10"/>
            <color indexed="10"/>
            <rFont val="Arial"/>
            <family val="2"/>
          </rPr>
          <t>of measuring a tree,</t>
        </r>
        <r>
          <rPr>
            <sz val="10"/>
            <rFont val="Arial"/>
            <family val="2"/>
          </rPr>
          <t xml:space="preserve"> in </t>
        </r>
        <r>
          <rPr>
            <sz val="10"/>
            <color indexed="10"/>
            <rFont val="Arial"/>
            <family val="2"/>
          </rPr>
          <t>dollars or time.</t>
        </r>
        <r>
          <rPr>
            <sz val="10"/>
            <rFont val="Arial"/>
            <family val="2"/>
          </rPr>
          <t xml:space="preserve">  The computation will then favor "cheaper" measurements.
  </t>
        </r>
        <r>
          <rPr>
            <sz val="8"/>
            <rFont val="Arial"/>
            <family val="2"/>
          </rPr>
          <t xml:space="preserve"> </t>
        </r>
        <r>
          <rPr>
            <sz val="8"/>
            <color indexed="10"/>
            <rFont val="Arial"/>
            <family val="2"/>
          </rPr>
          <t>If</t>
        </r>
        <r>
          <rPr>
            <sz val="8"/>
            <rFont val="Arial"/>
            <family val="2"/>
          </rPr>
          <t xml:space="preserve"> you entered the CV of the </t>
        </r>
        <r>
          <rPr>
            <sz val="8"/>
            <color indexed="10"/>
            <rFont val="Arial"/>
            <family val="2"/>
          </rPr>
          <t>average</t>
        </r>
        <r>
          <rPr>
            <sz val="8"/>
            <rFont val="Arial"/>
            <family val="2"/>
          </rPr>
          <t xml:space="preserve"> VBAR in a cluster (and I would not), this is the average cost of measuring </t>
        </r>
        <r>
          <rPr>
            <sz val="8"/>
            <color indexed="10"/>
            <rFont val="Arial"/>
            <family val="2"/>
          </rPr>
          <t>all</t>
        </r>
        <r>
          <rPr>
            <sz val="8"/>
            <rFont val="Arial"/>
            <family val="2"/>
          </rPr>
          <t xml:space="preserve"> the trees in a cluster.</t>
        </r>
      </text>
    </comment>
    <comment ref="D7" authorId="0">
      <text>
        <r>
          <rPr>
            <sz val="10"/>
            <rFont val="Tahoma"/>
            <family val="2"/>
          </rPr>
          <t xml:space="preserve">  This is the </t>
        </r>
        <r>
          <rPr>
            <u val="single"/>
            <sz val="10"/>
            <color indexed="10"/>
            <rFont val="Tahoma"/>
            <family val="2"/>
          </rPr>
          <t>ratio</t>
        </r>
        <r>
          <rPr>
            <sz val="10"/>
            <color indexed="10"/>
            <rFont val="Tahoma"/>
            <family val="2"/>
          </rPr>
          <t xml:space="preserve"> of tree counts</t>
        </r>
        <r>
          <rPr>
            <sz val="10"/>
            <rFont val="Tahoma"/>
            <family val="2"/>
          </rPr>
          <t xml:space="preserve"> made at sample points </t>
        </r>
        <r>
          <rPr>
            <sz val="10"/>
            <color indexed="10"/>
            <rFont val="Tahoma"/>
            <family val="2"/>
          </rPr>
          <t>to *BAR measurements (usually trees)</t>
        </r>
        <r>
          <rPr>
            <sz val="10"/>
            <rFont val="Tahoma"/>
            <family val="2"/>
          </rPr>
          <t xml:space="preserve"> taken.</t>
        </r>
      </text>
    </comment>
    <comment ref="H8" authorId="1">
      <text>
        <r>
          <rPr>
            <sz val="10"/>
            <rFont val="Tahoma"/>
            <family val="2"/>
          </rPr>
          <t xml:space="preserve">    With the average tree count in cell I15, use a BAF this many </t>
        </r>
        <r>
          <rPr>
            <sz val="10"/>
            <color indexed="10"/>
            <rFont val="Tahoma"/>
            <family val="2"/>
          </rPr>
          <t>times</t>
        </r>
        <r>
          <rPr>
            <sz val="10"/>
            <rFont val="Tahoma"/>
            <family val="2"/>
          </rPr>
          <t xml:space="preserve"> larger than the one for counting trees and you will automatically end up with about the right number of measured trees.
   The advantage is that the trees will be spread throughout the stand, rather than in clumps.  This is called the "Big BAF method" of selecting measured trees.</t>
        </r>
      </text>
    </comment>
    <comment ref="C9" authorId="0">
      <text>
        <r>
          <rPr>
            <sz val="10"/>
            <rFont val="Tahoma"/>
            <family val="2"/>
          </rPr>
          <t xml:space="preserve">   This is </t>
        </r>
        <r>
          <rPr>
            <b/>
            <sz val="10"/>
            <rFont val="Tahoma"/>
            <family val="2"/>
          </rPr>
          <t>"</t>
        </r>
        <r>
          <rPr>
            <b/>
            <sz val="10"/>
            <color indexed="10"/>
            <rFont val="Tahoma"/>
            <family val="2"/>
          </rPr>
          <t>ONE</t>
        </r>
        <r>
          <rPr>
            <sz val="10"/>
            <color indexed="10"/>
            <rFont val="Tahoma"/>
            <family val="2"/>
          </rPr>
          <t xml:space="preserve"> Standard Error</t>
        </r>
        <r>
          <rPr>
            <sz val="10"/>
            <rFont val="Tahoma"/>
            <family val="2"/>
          </rPr>
          <t>" in percent.  If the total error% is 7% for 95% confidence (t=2), this would be entered as 3.5% in cell d9.</t>
        </r>
        <r>
          <rPr>
            <sz val="10"/>
            <rFont val="Tahoma"/>
            <family val="0"/>
          </rPr>
          <t xml:space="preserve">
</t>
        </r>
      </text>
    </comment>
    <comment ref="H9" authorId="2">
      <text>
        <r>
          <rPr>
            <sz val="10"/>
            <rFont val="Tahoma"/>
            <family val="2"/>
          </rPr>
          <t xml:space="preserve">  These gold cells are unprotected so you can record </t>
        </r>
        <r>
          <rPr>
            <sz val="10"/>
            <color indexed="10"/>
            <rFont val="Tahoma"/>
            <family val="2"/>
          </rPr>
          <t>comments</t>
        </r>
        <r>
          <rPr>
            <sz val="10"/>
            <rFont val="Tahoma"/>
            <family val="2"/>
          </rPr>
          <t xml:space="preserve"> or </t>
        </r>
        <r>
          <rPr>
            <sz val="10"/>
            <color indexed="10"/>
            <rFont val="Tahoma"/>
            <family val="2"/>
          </rPr>
          <t>calculations</t>
        </r>
        <r>
          <rPr>
            <sz val="10"/>
            <rFont val="Tahoma"/>
            <family val="2"/>
          </rPr>
          <t xml:space="preserve"> of interest to the data entered.
  These comments will be printed with the data if you print the section that copies these results at the bottom of the spreadsheet (line 115, for instance).
</t>
        </r>
      </text>
    </comment>
    <comment ref="C11" authorId="0">
      <text>
        <r>
          <rPr>
            <sz val="10"/>
            <rFont val="Tahoma"/>
            <family val="2"/>
          </rPr>
          <t xml:space="preserve">  This is the </t>
        </r>
        <r>
          <rPr>
            <sz val="10"/>
            <color indexed="10"/>
            <rFont val="Tahoma"/>
            <family val="2"/>
          </rPr>
          <t>number of points</t>
        </r>
        <r>
          <rPr>
            <sz val="10"/>
            <rFont val="Tahoma"/>
            <family val="2"/>
          </rPr>
          <t xml:space="preserve"> you must visit and make a tree count.</t>
        </r>
      </text>
    </comment>
    <comment ref="E11" authorId="0">
      <text>
        <r>
          <rPr>
            <sz val="10"/>
            <rFont val="Tahoma"/>
            <family val="2"/>
          </rPr>
          <t xml:space="preserve">  </t>
        </r>
        <r>
          <rPr>
            <sz val="10"/>
            <color indexed="12"/>
            <rFont val="Tahoma"/>
            <family val="2"/>
          </rPr>
          <t xml:space="preserve"> This is the calculated</t>
        </r>
        <r>
          <rPr>
            <sz val="10"/>
            <rFont val="Tahoma"/>
            <family val="2"/>
          </rPr>
          <t xml:space="preserve"> </t>
        </r>
        <r>
          <rPr>
            <sz val="10"/>
            <color indexed="10"/>
            <rFont val="Tahoma"/>
            <family val="2"/>
          </rPr>
          <t xml:space="preserve">SE% for the </t>
        </r>
        <r>
          <rPr>
            <u val="single"/>
            <sz val="10"/>
            <color indexed="10"/>
            <rFont val="Tahoma"/>
            <family val="2"/>
          </rPr>
          <t>basal area</t>
        </r>
        <r>
          <rPr>
            <sz val="10"/>
            <color indexed="10"/>
            <rFont val="Tahoma"/>
            <family val="2"/>
          </rPr>
          <t xml:space="preserve"> (or tree count) </t>
        </r>
        <r>
          <rPr>
            <sz val="10"/>
            <color indexed="12"/>
            <rFont val="Tahoma"/>
            <family val="2"/>
          </rPr>
          <t>using this number of sample points.  
   It should be balanced with the number of measurements in order to minimize overall cost.</t>
        </r>
      </text>
    </comment>
    <comment ref="G11" authorId="0">
      <text>
        <r>
          <rPr>
            <sz val="10"/>
            <rFont val="Tahoma"/>
            <family val="2"/>
          </rPr>
          <t xml:space="preserve">  This is the </t>
        </r>
        <r>
          <rPr>
            <sz val="10"/>
            <color indexed="10"/>
            <rFont val="Tahoma"/>
            <family val="2"/>
          </rPr>
          <t>total cost</t>
        </r>
        <r>
          <rPr>
            <sz val="10"/>
            <rFont val="Tahoma"/>
            <family val="2"/>
          </rPr>
          <t xml:space="preserve"> of the optimized "count vs. measure" ratio </t>
        </r>
        <r>
          <rPr>
            <sz val="10"/>
            <color indexed="10"/>
            <rFont val="Tahoma"/>
            <family val="2"/>
          </rPr>
          <t>to provide you the SE% you required.</t>
        </r>
        <r>
          <rPr>
            <sz val="10"/>
            <rFont val="Tahoma"/>
            <family val="2"/>
          </rPr>
          <t xml:space="preserve">
  If you want to add extra plots (or try a different ratio of count vs. measure plots) it gives you a reference for the efficiency for the other alternatives.</t>
        </r>
      </text>
    </comment>
    <comment ref="I11" authorId="0">
      <text>
        <r>
          <rPr>
            <sz val="10"/>
            <rFont val="Tahoma"/>
            <family val="2"/>
          </rPr>
          <t xml:space="preserve">This is the </t>
        </r>
        <r>
          <rPr>
            <sz val="10"/>
            <color indexed="10"/>
            <rFont val="Tahoma"/>
            <family val="2"/>
          </rPr>
          <t>cost per sample point.</t>
        </r>
        <r>
          <rPr>
            <sz val="10"/>
            <rFont val="Tahoma"/>
            <family val="2"/>
          </rPr>
          <t xml:space="preserve">  It is simply the total cost divided by the number of sample points visited.</t>
        </r>
      </text>
    </comment>
    <comment ref="C12" authorId="0">
      <text>
        <r>
          <rPr>
            <sz val="10"/>
            <rFont val="Tahoma"/>
            <family val="2"/>
          </rPr>
          <t xml:space="preserve">   This is the </t>
        </r>
        <r>
          <rPr>
            <sz val="10"/>
            <color indexed="10"/>
            <rFont val="Tahoma"/>
            <family val="2"/>
          </rPr>
          <t>number of *BAR measurements</t>
        </r>
        <r>
          <rPr>
            <sz val="10"/>
            <rFont val="Tahoma"/>
            <family val="2"/>
          </rPr>
          <t xml:space="preserve"> you should make for optimal efficiency.
</t>
        </r>
        <r>
          <rPr>
            <sz val="10"/>
            <color indexed="10"/>
            <rFont val="Tahoma"/>
            <family val="2"/>
          </rPr>
          <t xml:space="preserve">   Normally this is the number of trees to measure.</t>
        </r>
        <r>
          <rPr>
            <sz val="10"/>
            <rFont val="Tahoma"/>
            <family val="2"/>
          </rPr>
          <t xml:space="preserve"> 
</t>
        </r>
        <r>
          <rPr>
            <sz val="10"/>
            <color indexed="12"/>
            <rFont val="Tahoma"/>
            <family val="2"/>
          </rPr>
          <t xml:space="preserve">  I suggest the use of</t>
        </r>
        <r>
          <rPr>
            <sz val="10"/>
            <color indexed="10"/>
            <rFont val="Tahoma"/>
            <family val="2"/>
          </rPr>
          <t xml:space="preserve"> "distributed VBARs" </t>
        </r>
        <r>
          <rPr>
            <sz val="10"/>
            <color indexed="12"/>
            <rFont val="Tahoma"/>
            <family val="2"/>
          </rPr>
          <t xml:space="preserve">where you spread the measurements throughout the stand using a larger BAF (rather than put them all in a few clusters).  This is a personal choice, and the compilation routine must be able to handle that (and can usually be tricked into doing so).
--------------------------------------
  It </t>
        </r>
        <r>
          <rPr>
            <u val="single"/>
            <sz val="10"/>
            <color indexed="12"/>
            <rFont val="Tahoma"/>
            <family val="2"/>
          </rPr>
          <t>could</t>
        </r>
        <r>
          <rPr>
            <sz val="10"/>
            <color indexed="12"/>
            <rFont val="Tahoma"/>
            <family val="2"/>
          </rPr>
          <t xml:space="preserve"> also be the number of fully measured sample points, </t>
        </r>
        <r>
          <rPr>
            <u val="double"/>
            <sz val="10"/>
            <color indexed="12"/>
            <rFont val="Tahoma"/>
            <family val="2"/>
          </rPr>
          <t>if</t>
        </r>
        <r>
          <rPr>
            <u val="single"/>
            <sz val="10"/>
            <color indexed="12"/>
            <rFont val="Tahoma"/>
            <family val="2"/>
          </rPr>
          <t xml:space="preserve"> you entered the CV of the </t>
        </r>
        <r>
          <rPr>
            <i/>
            <u val="single"/>
            <sz val="10"/>
            <color indexed="12"/>
            <rFont val="Tahoma"/>
            <family val="2"/>
          </rPr>
          <t>average</t>
        </r>
        <r>
          <rPr>
            <u val="single"/>
            <sz val="10"/>
            <color indexed="12"/>
            <rFont val="Tahoma"/>
            <family val="2"/>
          </rPr>
          <t xml:space="preserve"> *BAR of a cluster of trees</t>
        </r>
        <r>
          <rPr>
            <sz val="10"/>
            <color indexed="12"/>
            <rFont val="Tahoma"/>
            <family val="2"/>
          </rPr>
          <t xml:space="preserve"> in cell B5.  
  Traditionally, people measure </t>
        </r>
        <r>
          <rPr>
            <u val="single"/>
            <sz val="10"/>
            <color indexed="12"/>
            <rFont val="Tahoma"/>
            <family val="2"/>
          </rPr>
          <t>all</t>
        </r>
        <r>
          <rPr>
            <sz val="10"/>
            <color indexed="12"/>
            <rFont val="Tahoma"/>
            <family val="2"/>
          </rPr>
          <t xml:space="preserve"> trees at </t>
        </r>
        <r>
          <rPr>
            <u val="single"/>
            <sz val="10"/>
            <color indexed="12"/>
            <rFont val="Tahoma"/>
            <family val="2"/>
          </rPr>
          <t>some</t>
        </r>
        <r>
          <rPr>
            <sz val="10"/>
            <color indexed="12"/>
            <rFont val="Tahoma"/>
            <family val="2"/>
          </rPr>
          <t xml:space="preserve"> points use the CV for VBARs of individual trees (so this computation indicates the number of trees) and </t>
        </r>
        <r>
          <rPr>
            <i/>
            <sz val="10"/>
            <color indexed="12"/>
            <rFont val="Tahoma"/>
            <family val="2"/>
          </rPr>
          <t>then</t>
        </r>
        <r>
          <rPr>
            <sz val="10"/>
            <color indexed="12"/>
            <rFont val="Tahoma"/>
            <family val="2"/>
          </rPr>
          <t xml:space="preserve"> compute the number of points that would accumulate that number of trees.  If you need 50 trees, and expect 6 tree/point, measure about 8-10 full points in order to accumulate that number of measured trees.</t>
        </r>
      </text>
    </comment>
    <comment ref="E12" authorId="0">
      <text>
        <r>
          <rPr>
            <sz val="10"/>
            <rFont val="Tahoma"/>
            <family val="2"/>
          </rPr>
          <t xml:space="preserve">   This is the calculated </t>
        </r>
        <r>
          <rPr>
            <sz val="10"/>
            <color indexed="10"/>
            <rFont val="Tahoma"/>
            <family val="2"/>
          </rPr>
          <t xml:space="preserve">SE% for the </t>
        </r>
        <r>
          <rPr>
            <u val="single"/>
            <sz val="10"/>
            <color indexed="10"/>
            <rFont val="Tahoma"/>
            <family val="2"/>
          </rPr>
          <t>*BAR</t>
        </r>
        <r>
          <rPr>
            <sz val="10"/>
            <color indexed="10"/>
            <rFont val="Tahoma"/>
            <family val="2"/>
          </rPr>
          <t xml:space="preserve"> measurements</t>
        </r>
        <r>
          <rPr>
            <sz val="10"/>
            <rFont val="Tahoma"/>
            <family val="2"/>
          </rPr>
          <t xml:space="preserve"> with this number of measured items (usually trees).  
   It is balanced with the number of tree counts in order to minimize overall cost</t>
        </r>
      </text>
    </comment>
    <comment ref="I12" authorId="0">
      <text>
        <r>
          <rPr>
            <sz val="10"/>
            <rFont val="Tahoma"/>
            <family val="2"/>
          </rPr>
          <t xml:space="preserve">  There is not really </t>
        </r>
        <r>
          <rPr>
            <i/>
            <sz val="10"/>
            <rFont val="Tahoma"/>
            <family val="2"/>
          </rPr>
          <t>one</t>
        </r>
        <r>
          <rPr>
            <sz val="10"/>
            <rFont val="Tahoma"/>
            <family val="2"/>
          </rPr>
          <t xml:space="preserve"> CV for Variable Plot sampling when you use count and measure plots, because the variability depends on the ratio of Count:Measure plots.
  </t>
        </r>
        <r>
          <rPr>
            <sz val="10"/>
            <color indexed="10"/>
            <rFont val="Tahoma"/>
            <family val="2"/>
          </rPr>
          <t>If you want a reasonable approximation to the CV,</t>
        </r>
        <r>
          <rPr>
            <sz val="10"/>
            <rFont val="Tahoma"/>
            <family val="2"/>
          </rPr>
          <t xml:space="preserve"> </t>
        </r>
        <r>
          <rPr>
            <u val="single"/>
            <sz val="10"/>
            <rFont val="Tahoma"/>
            <family val="2"/>
          </rPr>
          <t>using the optimium ratio,</t>
        </r>
        <r>
          <rPr>
            <sz val="10"/>
            <rFont val="Tahoma"/>
            <family val="2"/>
          </rPr>
          <t xml:space="preserve"> then this is a good one.
  If you want to calculate some other sample size, this CV can be plugged into the standard equations where "n" is the number of count plots.</t>
        </r>
      </text>
    </comment>
    <comment ref="B13" authorId="1">
      <text>
        <r>
          <rPr>
            <sz val="10"/>
            <rFont val="Tahoma"/>
            <family val="2"/>
          </rPr>
          <t xml:space="preserve">  Add any notes you want on this long line, starting in cell C13.  It will print when you copy the entire section.
</t>
        </r>
      </text>
    </comment>
    <comment ref="E14" authorId="0">
      <text>
        <r>
          <rPr>
            <sz val="10"/>
            <rFont val="Tahoma"/>
            <family val="2"/>
          </rPr>
          <t xml:space="preserve">  In this Section (with the light green background) you can </t>
        </r>
        <r>
          <rPr>
            <sz val="10"/>
            <color indexed="10"/>
            <rFont val="Tahoma"/>
            <family val="2"/>
          </rPr>
          <t>test</t>
        </r>
        <r>
          <rPr>
            <sz val="10"/>
            <rFont val="Tahoma"/>
            <family val="2"/>
          </rPr>
          <t xml:space="preserve"> </t>
        </r>
        <r>
          <rPr>
            <sz val="10"/>
            <color indexed="10"/>
            <rFont val="Tahoma"/>
            <family val="2"/>
          </rPr>
          <t>other Combinations</t>
        </r>
        <r>
          <rPr>
            <sz val="10"/>
            <rFont val="Tahoma"/>
            <family val="2"/>
          </rPr>
          <t xml:space="preserve"> of points and measurements.
  </t>
        </r>
        <r>
          <rPr>
            <sz val="10"/>
            <color indexed="10"/>
            <rFont val="Tahoma"/>
            <family val="2"/>
          </rPr>
          <t>The program will compute the Overall  SE%, and the efficiency of your choices.</t>
        </r>
      </text>
    </comment>
    <comment ref="H14" authorId="3">
      <text>
        <r>
          <rPr>
            <sz val="8"/>
            <rFont val="Tahoma"/>
            <family val="2"/>
          </rPr>
          <t>This is the BAF multiplier using the information in C15/16.</t>
        </r>
      </text>
    </comment>
    <comment ref="I14" authorId="0">
      <text>
        <r>
          <rPr>
            <sz val="10"/>
            <rFont val="Tahoma"/>
            <family val="2"/>
          </rPr>
          <t xml:space="preserve">   If you use one BAF for counting the trees, and another one for choosing the ones to be measured, </t>
        </r>
        <r>
          <rPr>
            <sz val="10"/>
            <color indexed="10"/>
            <rFont val="Tahoma"/>
            <family val="2"/>
          </rPr>
          <t>this is how much larger the second BAF must be for choosing trees.</t>
        </r>
        <r>
          <rPr>
            <sz val="10"/>
            <rFont val="Tahoma"/>
            <family val="2"/>
          </rPr>
          <t xml:space="preserve">  It uses the number of *BAR's you intend to take from cell C16 (these will be individual trees, in this case), plus the average tree count in cell I15 to compute a value.
   If you count with a 20, then (20*multiplier) is the BAF needed for choosing the number of measured trees you want to use.</t>
        </r>
      </text>
    </comment>
    <comment ref="B15" authorId="0">
      <text>
        <r>
          <rPr>
            <sz val="10"/>
            <rFont val="Tahoma"/>
            <family val="2"/>
          </rPr>
          <t xml:space="preserve">  In this cell enter the </t>
        </r>
        <r>
          <rPr>
            <sz val="10"/>
            <color indexed="10"/>
            <rFont val="Tahoma"/>
            <family val="2"/>
          </rPr>
          <t>number of points</t>
        </r>
        <r>
          <rPr>
            <sz val="10"/>
            <rFont val="Tahoma"/>
            <family val="2"/>
          </rPr>
          <t xml:space="preserve"> where you intend to do tree counts.</t>
        </r>
      </text>
    </comment>
    <comment ref="D15" authorId="0">
      <text>
        <r>
          <rPr>
            <sz val="10"/>
            <rFont val="Tahoma"/>
            <family val="2"/>
          </rPr>
          <t xml:space="preserve">    The small numbers in italics are the </t>
        </r>
        <r>
          <rPr>
            <sz val="10"/>
            <color indexed="10"/>
            <rFont val="Tahoma"/>
            <family val="2"/>
          </rPr>
          <t>numbers needed to get exactly the same SE%</t>
        </r>
        <r>
          <rPr>
            <sz val="10"/>
            <rFont val="Tahoma"/>
            <family val="2"/>
          </rPr>
          <t xml:space="preserve"> as the you entered in the section above (D9).
     It uses the same </t>
        </r>
        <r>
          <rPr>
            <sz val="10"/>
            <color indexed="10"/>
            <rFont val="Tahoma"/>
            <family val="2"/>
          </rPr>
          <t>ratio</t>
        </r>
        <r>
          <rPr>
            <sz val="10"/>
            <rFont val="Tahoma"/>
            <family val="2"/>
          </rPr>
          <t xml:space="preserve"> as the numbers you entered in the red cells to the left (C15:16).</t>
        </r>
      </text>
    </comment>
    <comment ref="F15" authorId="0">
      <text>
        <r>
          <rPr>
            <sz val="10"/>
            <rFont val="Tahoma"/>
            <family val="2"/>
          </rPr>
          <t xml:space="preserve">   This is the calculated </t>
        </r>
        <r>
          <rPr>
            <sz val="10"/>
            <color indexed="10"/>
            <rFont val="Tahoma"/>
            <family val="2"/>
          </rPr>
          <t>SE% for the basal area</t>
        </r>
        <r>
          <rPr>
            <sz val="10"/>
            <rFont val="Tahoma"/>
            <family val="2"/>
          </rPr>
          <t xml:space="preserve"> or tree count (using </t>
        </r>
        <r>
          <rPr>
            <sz val="10"/>
            <color indexed="10"/>
            <rFont val="Tahoma"/>
            <family val="2"/>
          </rPr>
          <t>your</t>
        </r>
        <r>
          <rPr>
            <sz val="10"/>
            <rFont val="Tahoma"/>
            <family val="2"/>
          </rPr>
          <t xml:space="preserve"> number of sample points in cell C15). </t>
        </r>
      </text>
    </comment>
    <comment ref="H15" authorId="0">
      <text>
        <r>
          <rPr>
            <sz val="10"/>
            <rFont val="Tahoma"/>
            <family val="2"/>
          </rPr>
          <t xml:space="preserve">  This is the </t>
        </r>
        <r>
          <rPr>
            <sz val="10"/>
            <color indexed="10"/>
            <rFont val="Tahoma"/>
            <family val="2"/>
          </rPr>
          <t>average tree count you are expecting</t>
        </r>
        <r>
          <rPr>
            <sz val="10"/>
            <rFont val="Tahoma"/>
            <family val="2"/>
          </rPr>
          <t xml:space="preserve"> on the cruise.
-------------------
  Get the </t>
        </r>
        <r>
          <rPr>
            <sz val="10"/>
            <color indexed="10"/>
            <rFont val="Tahoma"/>
            <family val="2"/>
          </rPr>
          <t>approximate basal area</t>
        </r>
        <r>
          <rPr>
            <sz val="10"/>
            <rFont val="Tahoma"/>
            <family val="2"/>
          </rPr>
          <t xml:space="preserve"> on the tract (use </t>
        </r>
        <r>
          <rPr>
            <u val="single"/>
            <sz val="10"/>
            <rFont val="Tahoma"/>
            <family val="2"/>
          </rPr>
          <t>any</t>
        </r>
        <r>
          <rPr>
            <sz val="10"/>
            <rFont val="Tahoma"/>
            <family val="2"/>
          </rPr>
          <t xml:space="preserve"> prism, or your calibrated thumb to get this).  
  Then </t>
        </r>
        <r>
          <rPr>
            <sz val="10"/>
            <color indexed="10"/>
            <rFont val="Tahoma"/>
            <family val="2"/>
          </rPr>
          <t>divide it by the BAF</t>
        </r>
        <r>
          <rPr>
            <sz val="10"/>
            <rFont val="Tahoma"/>
            <family val="2"/>
          </rPr>
          <t xml:space="preserve"> you </t>
        </r>
        <r>
          <rPr>
            <u val="single"/>
            <sz val="10"/>
            <rFont val="Tahoma"/>
            <family val="2"/>
          </rPr>
          <t>intend</t>
        </r>
        <r>
          <rPr>
            <sz val="10"/>
            <rFont val="Tahoma"/>
            <family val="2"/>
          </rPr>
          <t xml:space="preserve"> to use and you will get the </t>
        </r>
        <r>
          <rPr>
            <sz val="10"/>
            <color indexed="10"/>
            <rFont val="Tahoma"/>
            <family val="2"/>
          </rPr>
          <t>average tree count</t>
        </r>
        <r>
          <rPr>
            <sz val="10"/>
            <rFont val="Tahoma"/>
            <family val="2"/>
          </rPr>
          <t xml:space="preserve"> with that BAF.
  Alternatively, divide the basal area by the count you WANT, and that will calculate the BAF you should use for counting trees.</t>
        </r>
      </text>
    </comment>
    <comment ref="B16" authorId="0">
      <text>
        <r>
          <rPr>
            <sz val="10"/>
            <rFont val="Tahoma"/>
            <family val="2"/>
          </rPr>
          <t xml:space="preserve">  In this cell, enter the </t>
        </r>
        <r>
          <rPr>
            <sz val="10"/>
            <color indexed="10"/>
            <rFont val="Tahoma"/>
            <family val="2"/>
          </rPr>
          <t>number of *BAR measurements</t>
        </r>
        <r>
          <rPr>
            <sz val="10"/>
            <rFont val="Tahoma"/>
            <family val="2"/>
          </rPr>
          <t xml:space="preserve"> you intend to take.
  This is usually the </t>
        </r>
        <r>
          <rPr>
            <sz val="10"/>
            <color indexed="10"/>
            <rFont val="Tahoma"/>
            <family val="2"/>
          </rPr>
          <t>number of trees,</t>
        </r>
        <r>
          <rPr>
            <sz val="10"/>
            <rFont val="Tahoma"/>
            <family val="2"/>
          </rPr>
          <t xml:space="preserve"> and corresponds to the CV your entered for *BAR.
  In some cases, it is the number of entire clusters (all trees at a point) </t>
        </r>
        <r>
          <rPr>
            <u val="single"/>
            <sz val="10"/>
            <rFont val="Tahoma"/>
            <family val="2"/>
          </rPr>
          <t>IF</t>
        </r>
        <r>
          <rPr>
            <sz val="10"/>
            <rFont val="Tahoma"/>
            <family val="2"/>
          </rPr>
          <t xml:space="preserve"> that CV has been entered in the section above.</t>
        </r>
        <r>
          <rPr>
            <sz val="10"/>
            <rFont val="Tahoma"/>
            <family val="0"/>
          </rPr>
          <t xml:space="preserve">
</t>
        </r>
      </text>
    </comment>
    <comment ref="F16" authorId="0">
      <text>
        <r>
          <rPr>
            <sz val="10"/>
            <rFont val="Tahoma"/>
            <family val="2"/>
          </rPr>
          <t xml:space="preserve">  This is the </t>
        </r>
        <r>
          <rPr>
            <sz val="10"/>
            <color indexed="10"/>
            <rFont val="Tahoma"/>
            <family val="2"/>
          </rPr>
          <t>SE% for the *BAR measurements,</t>
        </r>
        <r>
          <rPr>
            <sz val="10"/>
            <rFont val="Tahoma"/>
            <family val="2"/>
          </rPr>
          <t xml:space="preserve"> assuming the number that you are testing, as entered in cell C16.
</t>
        </r>
      </text>
    </comment>
    <comment ref="I16" authorId="0">
      <text>
        <r>
          <rPr>
            <sz val="10"/>
            <rFont val="Tahoma"/>
            <family val="2"/>
          </rPr>
          <t xml:space="preserve">  This is </t>
        </r>
        <r>
          <rPr>
            <sz val="10"/>
            <color indexed="10"/>
            <rFont val="Tahoma"/>
            <family val="2"/>
          </rPr>
          <t xml:space="preserve">the total number of trees you will  </t>
        </r>
        <r>
          <rPr>
            <u val="single"/>
            <sz val="10"/>
            <color indexed="10"/>
            <rFont val="Tahoma"/>
            <family val="2"/>
          </rPr>
          <t>choose</t>
        </r>
        <r>
          <rPr>
            <sz val="10"/>
            <color indexed="10"/>
            <rFont val="Tahoma"/>
            <family val="2"/>
          </rPr>
          <t xml:space="preserve"> from (for *BAR) during the cruise</t>
        </r>
        <r>
          <rPr>
            <sz val="10"/>
            <rFont val="Tahoma"/>
            <family val="2"/>
          </rPr>
          <t xml:space="preserve"> that you are considering.
    You can use the "Big BAF" multiplier to choose a prism which will automatically select  the right number of trees to measure (if your estimate of average tree count is accurate).</t>
        </r>
      </text>
    </comment>
    <comment ref="D17" authorId="0">
      <text>
        <r>
          <rPr>
            <sz val="10"/>
            <rFont val="Tahoma"/>
            <family val="2"/>
          </rPr>
          <t xml:space="preserve">  This indicates the </t>
        </r>
        <r>
          <rPr>
            <u val="single"/>
            <sz val="10"/>
            <color indexed="10"/>
            <rFont val="Tahoma"/>
            <family val="2"/>
          </rPr>
          <t>overall</t>
        </r>
        <r>
          <rPr>
            <sz val="10"/>
            <color indexed="10"/>
            <rFont val="Tahoma"/>
            <family val="2"/>
          </rPr>
          <t xml:space="preserve"> </t>
        </r>
        <r>
          <rPr>
            <u val="single"/>
            <sz val="10"/>
            <color indexed="10"/>
            <rFont val="Tahoma"/>
            <family val="2"/>
          </rPr>
          <t>relative</t>
        </r>
        <r>
          <rPr>
            <sz val="10"/>
            <color indexed="10"/>
            <rFont val="Tahoma"/>
            <family val="2"/>
          </rPr>
          <t xml:space="preserve"> efficiency of your tested alternative.</t>
        </r>
        <r>
          <rPr>
            <sz val="10"/>
            <rFont val="Tahoma"/>
            <family val="2"/>
          </rPr>
          <t xml:space="preserve">
  It is the </t>
        </r>
        <r>
          <rPr>
            <sz val="10"/>
            <color indexed="10"/>
            <rFont val="Tahoma"/>
            <family val="2"/>
          </rPr>
          <t>ratio of the total costs</t>
        </r>
        <r>
          <rPr>
            <sz val="10"/>
            <rFont val="Tahoma"/>
            <family val="2"/>
          </rPr>
          <t xml:space="preserve"> </t>
        </r>
        <r>
          <rPr>
            <b/>
            <sz val="10"/>
            <color indexed="10"/>
            <rFont val="Tahoma"/>
            <family val="2"/>
          </rPr>
          <t>IF</t>
        </r>
        <r>
          <rPr>
            <sz val="10"/>
            <rFont val="Tahoma"/>
            <family val="2"/>
          </rPr>
          <t xml:space="preserve"> you were to use the number of plots in italics to get the same SE% as the optimal solution (using </t>
        </r>
        <r>
          <rPr>
            <u val="single"/>
            <sz val="10"/>
            <rFont val="Tahoma"/>
            <family val="2"/>
          </rPr>
          <t>your</t>
        </r>
        <r>
          <rPr>
            <sz val="10"/>
            <rFont val="Tahoma"/>
            <family val="2"/>
          </rPr>
          <t xml:space="preserve"> less efficient </t>
        </r>
        <r>
          <rPr>
            <u val="single"/>
            <sz val="10"/>
            <rFont val="Tahoma"/>
            <family val="2"/>
          </rPr>
          <t>ratio</t>
        </r>
        <r>
          <rPr>
            <sz val="10"/>
            <rFont val="Tahoma"/>
            <family val="2"/>
          </rPr>
          <t xml:space="preserve"> of counts to measurements)</t>
        </r>
      </text>
    </comment>
    <comment ref="F17" authorId="0">
      <text>
        <r>
          <rPr>
            <sz val="10"/>
            <rFont val="Tahoma"/>
            <family val="2"/>
          </rPr>
          <t xml:space="preserve">  This is the </t>
        </r>
        <r>
          <rPr>
            <u val="single"/>
            <sz val="10"/>
            <color indexed="10"/>
            <rFont val="Tahoma"/>
            <family val="2"/>
          </rPr>
          <t>Total</t>
        </r>
        <r>
          <rPr>
            <sz val="10"/>
            <color indexed="10"/>
            <rFont val="Tahoma"/>
            <family val="2"/>
          </rPr>
          <t xml:space="preserve"> SE%, using the number of plots and measurements you are testing</t>
        </r>
        <r>
          <rPr>
            <sz val="10"/>
            <rFont val="Tahoma"/>
            <family val="2"/>
          </rPr>
          <t xml:space="preserve"> in this section.
  It may </t>
        </r>
        <r>
          <rPr>
            <i/>
            <sz val="10"/>
            <rFont val="Tahoma"/>
            <family val="2"/>
          </rPr>
          <t>intentionally</t>
        </r>
        <r>
          <rPr>
            <sz val="10"/>
            <rFont val="Tahoma"/>
            <family val="2"/>
          </rPr>
          <t xml:space="preserve"> not be exactly the same as the SE% you entered in the optimizing section above </t>
        </r>
        <r>
          <rPr>
            <sz val="10"/>
            <color indexed="10"/>
            <rFont val="Tahoma"/>
            <family val="2"/>
          </rPr>
          <t>{D9}</t>
        </r>
        <r>
          <rPr>
            <sz val="10"/>
            <rFont val="Tahoma"/>
            <family val="2"/>
          </rPr>
          <t xml:space="preserve">.  
  Having a few extra plots is usually a wise move, and this section will tell you what different alternatives will "cost", compared to ana "optimal" ratio and number -- </t>
        </r>
        <r>
          <rPr>
            <i/>
            <sz val="10"/>
            <rFont val="Tahoma"/>
            <family val="2"/>
          </rPr>
          <t>bear in mind,</t>
        </r>
        <r>
          <rPr>
            <sz val="10"/>
            <rFont val="Tahoma"/>
            <family val="2"/>
          </rPr>
          <t xml:space="preserve"> of course, that the CV's you entered in this program are only </t>
        </r>
        <r>
          <rPr>
            <u val="single"/>
            <sz val="10"/>
            <rFont val="Tahoma"/>
            <family val="2"/>
          </rPr>
          <t>estimates,</t>
        </r>
        <r>
          <rPr>
            <sz val="10"/>
            <rFont val="Tahoma"/>
            <family val="2"/>
          </rPr>
          <t xml:space="preserve"> and therefore any sample size calculations are </t>
        </r>
        <r>
          <rPr>
            <i/>
            <sz val="10"/>
            <rFont val="Tahoma"/>
            <family val="2"/>
          </rPr>
          <t>also</t>
        </r>
        <r>
          <rPr>
            <sz val="10"/>
            <rFont val="Tahoma"/>
            <family val="2"/>
          </rPr>
          <t xml:space="preserve"> only estimates.</t>
        </r>
      </text>
    </comment>
    <comment ref="I17" authorId="0">
      <text>
        <r>
          <rPr>
            <sz val="10"/>
            <rFont val="Tahoma"/>
            <family val="2"/>
          </rPr>
          <t xml:space="preserve">  This is the </t>
        </r>
        <r>
          <rPr>
            <sz val="10"/>
            <color indexed="10"/>
            <rFont val="Tahoma"/>
            <family val="2"/>
          </rPr>
          <t>number of fully measured plots you will be measuring during the cruise</t>
        </r>
        <r>
          <rPr>
            <sz val="10"/>
            <rFont val="Tahoma"/>
            <family val="2"/>
          </rPr>
          <t xml:space="preserve"> to get the required number of VBARs.
  You can check the "Big BAF multiplier" to find out how often that would occur.  For instance you might need 2.71 plots (obviously rounded to 3, and in 31 plots with 7 trees/plot to get about 19 trees.  That would be one per 11.42 plots (which would be the ratio in cell I14).  It would be better to select every 12th tree than to take them in 3 clusters like this.  </t>
        </r>
      </text>
    </comment>
    <comment ref="D18" authorId="0">
      <text>
        <r>
          <rPr>
            <sz val="10"/>
            <rFont val="Tahoma"/>
            <family val="2"/>
          </rPr>
          <t xml:space="preserve">  This indicates the </t>
        </r>
        <r>
          <rPr>
            <sz val="10"/>
            <color indexed="10"/>
            <rFont val="Tahoma"/>
            <family val="2"/>
          </rPr>
          <t>field efficiency</t>
        </r>
        <r>
          <rPr>
            <sz val="10"/>
            <rFont val="Tahoma"/>
            <family val="2"/>
          </rPr>
          <t xml:space="preserve"> of your tested alternative.  It </t>
        </r>
        <r>
          <rPr>
            <sz val="10"/>
            <color indexed="10"/>
            <rFont val="Tahoma"/>
            <family val="2"/>
          </rPr>
          <t>pays no attention to the fixed costs.</t>
        </r>
        <r>
          <rPr>
            <sz val="10"/>
            <rFont val="Tahoma"/>
            <family val="2"/>
          </rPr>
          <t xml:space="preserve">
  It is the </t>
        </r>
        <r>
          <rPr>
            <sz val="10"/>
            <color indexed="10"/>
            <rFont val="Tahoma"/>
            <family val="2"/>
          </rPr>
          <t xml:space="preserve">ratio of the total costs </t>
        </r>
        <r>
          <rPr>
            <b/>
            <sz val="10"/>
            <color indexed="10"/>
            <rFont val="Tahoma"/>
            <family val="2"/>
          </rPr>
          <t>IF</t>
        </r>
        <r>
          <rPr>
            <sz val="10"/>
            <rFont val="Tahoma"/>
            <family val="2"/>
          </rPr>
          <t xml:space="preserve"> you were to use the number of plots in italics to get the </t>
        </r>
        <r>
          <rPr>
            <sz val="10"/>
            <color indexed="10"/>
            <rFont val="Tahoma"/>
            <family val="2"/>
          </rPr>
          <t>same SE%</t>
        </r>
        <r>
          <rPr>
            <sz val="10"/>
            <rFont val="Tahoma"/>
            <family val="2"/>
          </rPr>
          <t xml:space="preserve"> as the optimal solution (using </t>
        </r>
        <r>
          <rPr>
            <u val="single"/>
            <sz val="10"/>
            <rFont val="Tahoma"/>
            <family val="2"/>
          </rPr>
          <t>your</t>
        </r>
        <r>
          <rPr>
            <sz val="10"/>
            <rFont val="Tahoma"/>
            <family val="2"/>
          </rPr>
          <t xml:space="preserve"> less efficient </t>
        </r>
        <r>
          <rPr>
            <u val="single"/>
            <sz val="10"/>
            <rFont val="Tahoma"/>
            <family val="2"/>
          </rPr>
          <t>ratio</t>
        </r>
        <r>
          <rPr>
            <sz val="10"/>
            <rFont val="Tahoma"/>
            <family val="2"/>
          </rPr>
          <t xml:space="preserve"> of counts to measurements)</t>
        </r>
      </text>
    </comment>
    <comment ref="F18" authorId="0">
      <text>
        <r>
          <rPr>
            <sz val="10"/>
            <rFont val="Tahoma"/>
            <family val="2"/>
          </rPr>
          <t xml:space="preserve">  This is the </t>
        </r>
        <r>
          <rPr>
            <sz val="10"/>
            <color indexed="10"/>
            <rFont val="Tahoma"/>
            <family val="2"/>
          </rPr>
          <t>overall cost</t>
        </r>
        <r>
          <rPr>
            <sz val="10"/>
            <rFont val="Tahoma"/>
            <family val="2"/>
          </rPr>
          <t xml:space="preserve"> of the cruise plan you are testing.</t>
        </r>
      </text>
    </comment>
    <comment ref="I18" authorId="0">
      <text>
        <r>
          <rPr>
            <sz val="10"/>
            <rFont val="Tahoma"/>
            <family val="2"/>
          </rPr>
          <t xml:space="preserve">  This is the average </t>
        </r>
        <r>
          <rPr>
            <sz val="10"/>
            <color indexed="10"/>
            <rFont val="Tahoma"/>
            <family val="2"/>
          </rPr>
          <t>cost per sample point visited.</t>
        </r>
        <r>
          <rPr>
            <sz val="10"/>
            <rFont val="Tahoma"/>
            <family val="2"/>
          </rPr>
          <t xml:space="preserve">  
  It cannot be strictly compared to the other cost per point in cell G11, since different schemes are used.  </t>
        </r>
      </text>
    </comment>
    <comment ref="F19" authorId="0">
      <text>
        <r>
          <rPr>
            <sz val="10"/>
            <rFont val="Tahoma"/>
            <family val="2"/>
          </rPr>
          <t xml:space="preserve">  </t>
        </r>
        <r>
          <rPr>
            <sz val="10"/>
            <color indexed="12"/>
            <rFont val="Tahoma"/>
            <family val="2"/>
          </rPr>
          <t>This is the</t>
        </r>
        <r>
          <rPr>
            <sz val="10"/>
            <rFont val="Tahoma"/>
            <family val="2"/>
          </rPr>
          <t xml:space="preserve"> </t>
        </r>
        <r>
          <rPr>
            <sz val="10"/>
            <color indexed="10"/>
            <rFont val="Tahoma"/>
            <family val="2"/>
          </rPr>
          <t>relative cost percentage of the cruise you are testing vs. the optimal solution.</t>
        </r>
        <r>
          <rPr>
            <sz val="10"/>
            <rFont val="Tahoma"/>
            <family val="2"/>
          </rPr>
          <t xml:space="preserve">  
  Bear in mind that it </t>
        </r>
        <r>
          <rPr>
            <sz val="10"/>
            <color indexed="10"/>
            <rFont val="Tahoma"/>
            <family val="2"/>
          </rPr>
          <t>may be for a different SE%,</t>
        </r>
        <r>
          <rPr>
            <sz val="10"/>
            <rFont val="Tahoma"/>
            <family val="2"/>
          </rPr>
          <t xml:space="preserve"> and therefore may look more or less efficient than getting exactly the same result.  
  </t>
        </r>
        <r>
          <rPr>
            <sz val="10"/>
            <color indexed="10"/>
            <rFont val="Tahoma"/>
            <family val="2"/>
          </rPr>
          <t xml:space="preserve">This comparison is for the </t>
        </r>
        <r>
          <rPr>
            <u val="single"/>
            <sz val="10"/>
            <color indexed="10"/>
            <rFont val="Tahoma"/>
            <family val="2"/>
          </rPr>
          <t>overall</t>
        </r>
        <r>
          <rPr>
            <sz val="10"/>
            <color indexed="10"/>
            <rFont val="Tahoma"/>
            <family val="2"/>
          </rPr>
          <t xml:space="preserve"> plan, and may include a decision to oversample, for instance.
   </t>
        </r>
        <r>
          <rPr>
            <b/>
            <sz val="10"/>
            <color indexed="10"/>
            <rFont val="Tahoma"/>
            <family val="2"/>
          </rPr>
          <t>Comparitive</t>
        </r>
        <r>
          <rPr>
            <sz val="10"/>
            <color indexed="12"/>
            <rFont val="Tahoma"/>
            <family val="2"/>
          </rPr>
          <t xml:space="preserve"> efficiency is available in Cells {D, 17 &amp; 18}</t>
        </r>
      </text>
    </comment>
    <comment ref="G19" authorId="0">
      <text>
        <r>
          <rPr>
            <sz val="10"/>
            <rFont val="Tahoma"/>
            <family val="2"/>
          </rPr>
          <t xml:space="preserve">  This is the </t>
        </r>
        <r>
          <rPr>
            <sz val="10"/>
            <color indexed="10"/>
            <rFont val="Tahoma"/>
            <family val="2"/>
          </rPr>
          <t>efficiency of the cruise you are testing vs. the optimal solution.</t>
        </r>
        <r>
          <rPr>
            <sz val="10"/>
            <rFont val="Tahoma"/>
            <family val="2"/>
          </rPr>
          <t xml:space="preserve">  
  Bear in mind that it </t>
        </r>
        <r>
          <rPr>
            <sz val="10"/>
            <color indexed="10"/>
            <rFont val="Tahoma"/>
            <family val="2"/>
          </rPr>
          <t>may be for a different SE%,</t>
        </r>
        <r>
          <rPr>
            <sz val="10"/>
            <rFont val="Tahoma"/>
            <family val="2"/>
          </rPr>
          <t xml:space="preserve"> and therefore may look more or less efficient than when you get exactly the same result.  
  That is why the </t>
        </r>
        <r>
          <rPr>
            <sz val="10"/>
            <color indexed="10"/>
            <rFont val="Tahoma"/>
            <family val="2"/>
          </rPr>
          <t>other efficiencies</t>
        </r>
        <r>
          <rPr>
            <sz val="10"/>
            <rFont val="Tahoma"/>
            <family val="2"/>
          </rPr>
          <t xml:space="preserve"> (cells D17,18) are included, because they include </t>
        </r>
        <r>
          <rPr>
            <u val="single"/>
            <sz val="10"/>
            <rFont val="Tahoma"/>
            <family val="2"/>
          </rPr>
          <t>only</t>
        </r>
        <r>
          <rPr>
            <sz val="10"/>
            <rFont val="Tahoma"/>
            <family val="2"/>
          </rPr>
          <t xml:space="preserve"> the difference </t>
        </r>
        <r>
          <rPr>
            <u val="single"/>
            <sz val="10"/>
            <rFont val="Tahoma"/>
            <family val="2"/>
          </rPr>
          <t>due to the ratio</t>
        </r>
        <r>
          <rPr>
            <sz val="10"/>
            <rFont val="Tahoma"/>
            <family val="2"/>
          </rPr>
          <t xml:space="preserve"> of C:M you are testing.
  </t>
        </r>
        <r>
          <rPr>
            <b/>
            <sz val="10"/>
            <rFont val="Tahoma"/>
            <family val="2"/>
          </rPr>
          <t>This</t>
        </r>
        <r>
          <rPr>
            <sz val="10"/>
            <rFont val="Tahoma"/>
            <family val="2"/>
          </rPr>
          <t xml:space="preserve"> comparison is for the </t>
        </r>
        <r>
          <rPr>
            <sz val="10"/>
            <color indexed="10"/>
            <rFont val="Tahoma"/>
            <family val="2"/>
          </rPr>
          <t>overall</t>
        </r>
        <r>
          <rPr>
            <sz val="10"/>
            <rFont val="Tahoma"/>
            <family val="2"/>
          </rPr>
          <t xml:space="preserve"> plan, and may include a decision to oversample, for instance.</t>
        </r>
      </text>
    </comment>
    <comment ref="I19" authorId="0">
      <text>
        <r>
          <rPr>
            <sz val="10"/>
            <rFont val="Tahoma"/>
            <family val="2"/>
          </rPr>
          <t xml:space="preserve">  There is not really a CV for Variable Plot sampling when you use count and measure plots, because the variability depends on the ratio of C:M plots.
  </t>
        </r>
        <r>
          <rPr>
            <sz val="10"/>
            <color indexed="10"/>
            <rFont val="Tahoma"/>
            <family val="2"/>
          </rPr>
          <t>If you want a reasonable approximation to the CV,</t>
        </r>
        <r>
          <rPr>
            <sz val="10"/>
            <rFont val="Tahoma"/>
            <family val="2"/>
          </rPr>
          <t xml:space="preserve"> using the  ratio you are testing, then this is a good one.
  If you want to calculate some other sample size, this can be plugged into the standard equations.</t>
        </r>
      </text>
    </comment>
    <comment ref="B20" authorId="0">
      <text>
        <r>
          <rPr>
            <sz val="10"/>
            <color indexed="10"/>
            <rFont val="Tahoma"/>
            <family val="2"/>
          </rPr>
          <t>Yellow</t>
        </r>
        <r>
          <rPr>
            <sz val="10"/>
            <rFont val="Tahoma"/>
            <family val="2"/>
          </rPr>
          <t xml:space="preserve"> Items are ones you fill in.
</t>
        </r>
        <r>
          <rPr>
            <sz val="10"/>
            <color indexed="10"/>
            <rFont val="Tahoma"/>
            <family val="2"/>
          </rPr>
          <t>Gold</t>
        </r>
        <r>
          <rPr>
            <sz val="10"/>
            <rFont val="Tahoma"/>
            <family val="2"/>
          </rPr>
          <t xml:space="preserve"> are optional
</t>
        </r>
        <r>
          <rPr>
            <sz val="10"/>
            <color indexed="10"/>
            <rFont val="Tahoma"/>
            <family val="2"/>
          </rPr>
          <t>Grey</t>
        </r>
        <r>
          <rPr>
            <sz val="10"/>
            <rFont val="Tahoma"/>
            <family val="2"/>
          </rPr>
          <t xml:space="preserve"> are computed items
   </t>
        </r>
        <r>
          <rPr>
            <sz val="10"/>
            <color indexed="10"/>
            <rFont val="Tahoma"/>
            <family val="2"/>
          </rPr>
          <t>Dark Blue section</t>
        </r>
        <r>
          <rPr>
            <sz val="10"/>
            <rFont val="Tahoma"/>
            <family val="2"/>
          </rPr>
          <t xml:space="preserve">s are for information.
   Other colors are for organization.
A </t>
        </r>
        <r>
          <rPr>
            <sz val="10"/>
            <color indexed="10"/>
            <rFont val="Tahoma"/>
            <family val="2"/>
          </rPr>
          <t>red triangle in the corner of a cell</t>
        </r>
        <r>
          <rPr>
            <sz val="10"/>
            <rFont val="Tahoma"/>
            <family val="2"/>
          </rPr>
          <t xml:space="preserve"> means that a comment is available about it.  Put the cursor there, and it will pop up.</t>
        </r>
        <r>
          <rPr>
            <b/>
            <sz val="10"/>
            <rFont val="Tahoma"/>
            <family val="0"/>
          </rPr>
          <t xml:space="preserve">
</t>
        </r>
      </text>
    </comment>
    <comment ref="C20" authorId="0">
      <text>
        <r>
          <rPr>
            <sz val="10"/>
            <color indexed="18"/>
            <rFont val="Tahoma"/>
            <family val="2"/>
          </rPr>
          <t xml:space="preserve">  The comments are shown when you are on a cell with a red triangle in the upper right (or if that cell is frequently filled in, the red triangle and comment is on the cell next to it).
  </t>
        </r>
        <r>
          <rPr>
            <sz val="10"/>
            <color indexed="10"/>
            <rFont val="Tahoma"/>
            <family val="2"/>
          </rPr>
          <t>If the comments flow off the screen,</t>
        </r>
        <r>
          <rPr>
            <sz val="10"/>
            <color indexed="18"/>
            <rFont val="Tahoma"/>
            <family val="2"/>
          </rPr>
          <t xml:space="preserve"> hold down the left mouse button and drag until the whole comment is visible.
  </t>
        </r>
        <r>
          <rPr>
            <sz val="10"/>
            <color indexed="10"/>
            <rFont val="Tahoma"/>
            <family val="2"/>
          </rPr>
          <t>You can turn off all these comments</t>
        </r>
        <r>
          <rPr>
            <sz val="10"/>
            <color indexed="18"/>
            <rFont val="Tahoma"/>
            <family val="2"/>
          </rPr>
          <t xml:space="preserve"> once you are familiar with the spreadsheet, using  
      {Tools/options/view/comments/none}
If you turn off the comments, you can always check them on the "demo copy" worksheet, which does not compute numbers.</t>
        </r>
        <r>
          <rPr>
            <b/>
            <sz val="10"/>
            <rFont val="Tahoma"/>
            <family val="0"/>
          </rPr>
          <t xml:space="preserve">
</t>
        </r>
      </text>
    </comment>
    <comment ref="D20" authorId="0">
      <text>
        <r>
          <rPr>
            <sz val="10"/>
            <color indexed="18"/>
            <rFont val="Tahoma"/>
            <family val="2"/>
          </rPr>
          <t xml:space="preserve">  </t>
        </r>
        <r>
          <rPr>
            <sz val="10"/>
            <color indexed="10"/>
            <rFont val="Tahoma"/>
            <family val="2"/>
          </rPr>
          <t>If you never use some items,</t>
        </r>
        <r>
          <rPr>
            <sz val="10"/>
            <color indexed="18"/>
            <rFont val="Tahoma"/>
            <family val="2"/>
          </rPr>
          <t xml:space="preserve"> and don’t want them to clutter the spreadsheet, just </t>
        </r>
        <r>
          <rPr>
            <u val="single"/>
            <sz val="10"/>
            <color indexed="18"/>
            <rFont val="Tahoma"/>
            <family val="2"/>
          </rPr>
          <t>unprotect</t>
        </r>
        <r>
          <rPr>
            <sz val="10"/>
            <color indexed="18"/>
            <rFont val="Tahoma"/>
            <family val="2"/>
          </rPr>
          <t xml:space="preserve"> the worksheet and blank out the choices and results.
</t>
        </r>
        <r>
          <rPr>
            <b/>
            <sz val="10"/>
            <color indexed="10"/>
            <rFont val="Tahoma"/>
            <family val="2"/>
          </rPr>
          <t xml:space="preserve">  Better yet</t>
        </r>
        <r>
          <rPr>
            <sz val="10"/>
            <color indexed="10"/>
            <rFont val="Tahoma"/>
            <family val="2"/>
          </rPr>
          <t xml:space="preserve">, </t>
        </r>
        <r>
          <rPr>
            <sz val="10"/>
            <color indexed="18"/>
            <rFont val="Tahoma"/>
            <family val="2"/>
          </rPr>
          <t xml:space="preserve">make the text the same color as the background, then you can reverse the process later, </t>
        </r>
        <r>
          <rPr>
            <u val="single"/>
            <sz val="10"/>
            <color indexed="18"/>
            <rFont val="Tahoma"/>
            <family val="2"/>
          </rPr>
          <t>and</t>
        </r>
        <r>
          <rPr>
            <sz val="10"/>
            <color indexed="18"/>
            <rFont val="Tahoma"/>
            <family val="2"/>
          </rPr>
          <t xml:space="preserve"> you will not mess up any computations.
  </t>
        </r>
        <r>
          <rPr>
            <sz val="10"/>
            <color indexed="10"/>
            <rFont val="Tahoma"/>
            <family val="2"/>
          </rPr>
          <t>If you don't want people to change or use some of the options,</t>
        </r>
        <r>
          <rPr>
            <sz val="10"/>
            <color indexed="18"/>
            <rFont val="Tahoma"/>
            <family val="2"/>
          </rPr>
          <t xml:space="preserve"> you can lock that item by :
  { format/ cells/ protection/ locked }</t>
        </r>
      </text>
    </comment>
    <comment ref="E20" authorId="2">
      <text>
        <r>
          <rPr>
            <sz val="10"/>
            <rFont val="Tahoma"/>
            <family val="2"/>
          </rPr>
          <t xml:space="preserve">   
 </t>
        </r>
        <r>
          <rPr>
            <b/>
            <sz val="10"/>
            <color indexed="10"/>
            <rFont val="Tahoma"/>
            <family val="2"/>
          </rPr>
          <t>Version : August 20, 2003,</t>
        </r>
        <r>
          <rPr>
            <sz val="10"/>
            <rFont val="Tahoma"/>
            <family val="2"/>
          </rPr>
          <t xml:space="preserve">
   This program is provided by</t>
        </r>
        <r>
          <rPr>
            <sz val="10"/>
            <color indexed="10"/>
            <rFont val="Tahoma"/>
            <family val="2"/>
          </rPr>
          <t xml:space="preserve"> Dr. Kim Iles</t>
        </r>
        <r>
          <rPr>
            <sz val="10"/>
            <color indexed="8"/>
            <rFont val="Tahoma"/>
            <family val="2"/>
          </rPr>
          <t>,</t>
        </r>
        <r>
          <rPr>
            <sz val="10"/>
            <rFont val="Tahoma"/>
            <family val="2"/>
          </rPr>
          <t xml:space="preserve"> Biometrician and consultant in Forest Inventory &amp; Statistics. 
   To receive newer versions, look on an internet engine for "Kim Iles, Biometrician" to find my website and send me an 
e-mail.
       </t>
        </r>
        <r>
          <rPr>
            <sz val="10"/>
            <color indexed="10"/>
            <rFont val="Tahoma"/>
            <family val="2"/>
          </rPr>
          <t xml:space="preserve">If you find this spreadsheet of use, you owe me a 
thank-you note, other than that it is free.  </t>
        </r>
        <r>
          <rPr>
            <sz val="10"/>
            <rFont val="Tahoma"/>
            <family val="2"/>
          </rPr>
          <t xml:space="preserve">
I am always interested in your suggestions for improvement.
(</t>
        </r>
        <r>
          <rPr>
            <b/>
            <sz val="10"/>
            <rFont val="Tahoma"/>
            <family val="2"/>
          </rPr>
          <t>I obviously cannot be held responsible for accuracy,</t>
        </r>
        <r>
          <rPr>
            <sz val="10"/>
            <rFont val="Tahoma"/>
            <family val="2"/>
          </rPr>
          <t xml:space="preserve"> since the program can be changed locally.  If in doubt, check with me - but it is as close to accurate as I can make it).
   Kim Iles &amp; Associates Ltd.
   412 Valley Place,
   Nanaimo, BC, CANADA
       V9R 6A6
currently:
        Phone &amp; FAX : (250) 753-8095
        e-mail : kiles@island.net
        Web : www.island.net/~kiles/</t>
        </r>
      </text>
    </comment>
    <comment ref="F20" authorId="0">
      <text>
        <r>
          <rPr>
            <sz val="10"/>
            <rFont val="Tahoma"/>
            <family val="2"/>
          </rPr>
          <t xml:space="preserve">  I have removed any earlier edition macros for printing.
  The rest of the sections can be printed using EXCEL commands.  I have chosen the colors so they work with my laser black and white printer.  The print area is initially set to print a black and white version starting about line 100.
</t>
        </r>
      </text>
    </comment>
    <comment ref="G20" authorId="0">
      <text>
        <r>
          <rPr>
            <sz val="10"/>
            <color indexed="18"/>
            <rFont val="Tahoma"/>
            <family val="2"/>
          </rPr>
          <t xml:space="preserve"> 
 There are no Macro's to print the results - you might want to add some.  The presence of macros disturbes some people, because they are worried about viruses.
   There were no viruses on the discs or e-mail that I distributed.</t>
        </r>
      </text>
    </comment>
    <comment ref="H20" authorId="0">
      <text>
        <r>
          <rPr>
            <sz val="10"/>
            <color indexed="18"/>
            <rFont val="Tahoma"/>
            <family val="2"/>
          </rPr>
          <t xml:space="preserve"> 
  I have attempted to provide both metric and English measurements wherever possible.
  If you </t>
        </r>
        <r>
          <rPr>
            <u val="single"/>
            <sz val="10"/>
            <color indexed="18"/>
            <rFont val="Tahoma"/>
            <family val="2"/>
          </rPr>
          <t>never</t>
        </r>
        <r>
          <rPr>
            <sz val="10"/>
            <color indexed="18"/>
            <rFont val="Tahoma"/>
            <family val="2"/>
          </rPr>
          <t xml:space="preserve"> use metric (or english) just unprotect the worksheet and blank out the choices and results </t>
        </r>
        <r>
          <rPr>
            <sz val="10"/>
            <color indexed="10"/>
            <rFont val="Tahoma"/>
            <family val="2"/>
          </rPr>
          <t xml:space="preserve">(or, </t>
        </r>
        <r>
          <rPr>
            <u val="single"/>
            <sz val="10"/>
            <color indexed="10"/>
            <rFont val="Tahoma"/>
            <family val="2"/>
          </rPr>
          <t>better yet,</t>
        </r>
        <r>
          <rPr>
            <sz val="10"/>
            <color indexed="10"/>
            <rFont val="Tahoma"/>
            <family val="2"/>
          </rPr>
          <t xml:space="preserve"> make the text the same color as the background, which will keep it in case you need it later).
</t>
        </r>
      </text>
    </comment>
    <comment ref="I20" authorId="0">
      <text>
        <r>
          <rPr>
            <sz val="10"/>
            <color indexed="18"/>
            <rFont val="Tahoma"/>
            <family val="2"/>
          </rPr>
          <t xml:space="preserve">   </t>
        </r>
        <r>
          <rPr>
            <sz val="10"/>
            <color indexed="10"/>
            <rFont val="Tahoma"/>
            <family val="2"/>
          </rPr>
          <t>If you need to refresh the spreadsheet,</t>
        </r>
        <r>
          <rPr>
            <sz val="10"/>
            <color indexed="18"/>
            <rFont val="Tahoma"/>
            <family val="2"/>
          </rPr>
          <t xml:space="preserve"> because it has been corrupted in some way, you can get a copy sent to you by simply emailing me.  
   </t>
        </r>
        <r>
          <rPr>
            <sz val="10"/>
            <color indexed="10"/>
            <rFont val="Tahoma"/>
            <family val="2"/>
          </rPr>
          <t>Do this every once in a while anyway,</t>
        </r>
        <r>
          <rPr>
            <sz val="10"/>
            <color indexed="18"/>
            <rFont val="Tahoma"/>
            <family val="2"/>
          </rPr>
          <t xml:space="preserve"> because I keep improving it.
   Give copies to whoever would like one - you have my permission.</t>
        </r>
      </text>
    </comment>
    <comment ref="C21" authorId="0">
      <text>
        <r>
          <rPr>
            <sz val="10"/>
            <color indexed="18"/>
            <rFont val="Tahoma"/>
            <family val="2"/>
          </rPr>
          <t xml:space="preserve">  This spreadsheet is initially "protected", meaning that you can only change certain items.
  If </t>
        </r>
        <r>
          <rPr>
            <u val="single"/>
            <sz val="10"/>
            <color indexed="18"/>
            <rFont val="Tahoma"/>
            <family val="2"/>
          </rPr>
          <t>you want to make changes,</t>
        </r>
        <r>
          <rPr>
            <sz val="10"/>
            <color indexed="18"/>
            <rFont val="Tahoma"/>
            <family val="2"/>
          </rPr>
          <t xml:space="preserve"> such as eliminating all metric answers or computing English answers from the metric equivalents, </t>
        </r>
        <r>
          <rPr>
            <sz val="10"/>
            <color indexed="10"/>
            <rFont val="Tahoma"/>
            <family val="2"/>
          </rPr>
          <t>you can turn off the protection</t>
        </r>
        <r>
          <rPr>
            <sz val="10"/>
            <color indexed="18"/>
            <rFont val="Tahoma"/>
            <family val="2"/>
          </rPr>
          <t xml:space="preserve"> using :
     {tools/protection/unprotect sheet}.</t>
        </r>
        <r>
          <rPr>
            <b/>
            <sz val="10"/>
            <rFont val="Tahoma"/>
            <family val="0"/>
          </rPr>
          <t xml:space="preserve">
</t>
        </r>
        <r>
          <rPr>
            <sz val="10"/>
            <rFont val="Tahoma"/>
            <family val="2"/>
          </rPr>
          <t xml:space="preserve">Then you can change titles, comments, lock some cells closed, etc.
  </t>
        </r>
        <r>
          <rPr>
            <sz val="10"/>
            <color indexed="10"/>
            <rFont val="Tahoma"/>
            <family val="2"/>
          </rPr>
          <t>Afterwards, turn the protection on again</t>
        </r>
        <r>
          <rPr>
            <sz val="10"/>
            <rFont val="Tahoma"/>
            <family val="2"/>
          </rPr>
          <t xml:space="preserve"> so you do not destroy cells with equations in them by mistake.</t>
        </r>
      </text>
    </comment>
    <comment ref="D21" authorId="0">
      <text>
        <r>
          <rPr>
            <sz val="10"/>
            <color indexed="18"/>
            <rFont val="Tahoma"/>
            <family val="2"/>
          </rPr>
          <t xml:space="preserve">1)  Enter an </t>
        </r>
        <r>
          <rPr>
            <sz val="10"/>
            <color indexed="10"/>
            <rFont val="Tahoma"/>
            <family val="2"/>
          </rPr>
          <t>initial number</t>
        </r>
        <r>
          <rPr>
            <sz val="10"/>
            <color indexed="18"/>
            <rFont val="Tahoma"/>
            <family val="2"/>
          </rPr>
          <t xml:space="preserve"> and see the results.
2)  Try an</t>
        </r>
        <r>
          <rPr>
            <sz val="10"/>
            <color indexed="10"/>
            <rFont val="Tahoma"/>
            <family val="2"/>
          </rPr>
          <t xml:space="preserve"> alternative</t>
        </r>
        <r>
          <rPr>
            <sz val="10"/>
            <color indexed="18"/>
            <rFont val="Tahoma"/>
            <family val="2"/>
          </rPr>
          <t xml:space="preserve"> </t>
        </r>
        <r>
          <rPr>
            <sz val="10"/>
            <color indexed="10"/>
            <rFont val="Tahoma"/>
            <family val="2"/>
          </rPr>
          <t>number</t>
        </r>
        <r>
          <rPr>
            <sz val="10"/>
            <color indexed="18"/>
            <rFont val="Tahoma"/>
            <family val="2"/>
          </rPr>
          <t xml:space="preserve"> to see the difference.
3)  </t>
        </r>
        <r>
          <rPr>
            <sz val="10"/>
            <color indexed="10"/>
            <rFont val="Tahoma"/>
            <family val="2"/>
          </rPr>
          <t>Use the "undo" and "redo" commands</t>
        </r>
        <r>
          <rPr>
            <sz val="10"/>
            <color indexed="18"/>
            <rFont val="Tahoma"/>
            <family val="2"/>
          </rPr>
          <t xml:space="preserve"> to change back and forth between the two answers to see the effect. </t>
        </r>
      </text>
    </comment>
    <comment ref="E21" authorId="1">
      <text>
        <r>
          <rPr>
            <sz val="10"/>
            <rFont val="Tahoma"/>
            <family val="2"/>
          </rPr>
          <t xml:space="preserve"> 
   Learn to use the "Goal Seek" function under "tools/goal seek".  It will automatically change one item until another is what you want it to be.  
   As an example, you could change the SE% until the project becomes a specific cost.</t>
        </r>
      </text>
    </comment>
    <comment ref="F21" authorId="1">
      <text>
        <r>
          <rPr>
            <sz val="10"/>
            <rFont val="Tahoma"/>
            <family val="2"/>
          </rPr>
          <t xml:space="preserve">   If you double click the icon "documentation" {about cell K8} you will get an MSWord document that explains the program.
Also, look at "Comments"</t>
        </r>
      </text>
    </comment>
    <comment ref="H22" authorId="0">
      <text>
        <r>
          <rPr>
            <sz val="10"/>
            <rFont val="Tahoma"/>
            <family val="2"/>
          </rPr>
          <t xml:space="preserve">This is just the </t>
        </r>
        <r>
          <rPr>
            <sz val="10"/>
            <color indexed="10"/>
            <rFont val="Tahoma"/>
            <family val="2"/>
          </rPr>
          <t>desired SE%</t>
        </r>
        <r>
          <rPr>
            <sz val="10"/>
            <rFont val="Tahoma"/>
            <family val="2"/>
          </rPr>
          <t xml:space="preserve"> you entered from the first section, cell {D9}.</t>
        </r>
      </text>
    </comment>
    <comment ref="I23" authorId="0">
      <text>
        <r>
          <rPr>
            <sz val="10"/>
            <rFont val="Tahoma"/>
            <family val="2"/>
          </rPr>
          <t xml:space="preserve">  This is the </t>
        </r>
        <r>
          <rPr>
            <sz val="10"/>
            <color indexed="10"/>
            <rFont val="Tahoma"/>
            <family val="2"/>
          </rPr>
          <t>average tree count</t>
        </r>
        <r>
          <rPr>
            <sz val="10"/>
            <rFont val="Tahoma"/>
            <family val="2"/>
          </rPr>
          <t xml:space="preserve"> 
expected during the cruise.
   This is normally the same as the average tree count in H15, and in the </t>
        </r>
        <r>
          <rPr>
            <i/>
            <sz val="10"/>
            <rFont val="Tahoma"/>
            <family val="2"/>
          </rPr>
          <t>initial</t>
        </r>
        <r>
          <rPr>
            <sz val="10"/>
            <rFont val="Tahoma"/>
            <family val="2"/>
          </rPr>
          <t xml:space="preserve"> spreadsheet it just copied cell H15 automatically.</t>
        </r>
      </text>
    </comment>
    <comment ref="C24" authorId="0">
      <text>
        <r>
          <rPr>
            <sz val="10"/>
            <rFont val="Tahoma"/>
            <family val="2"/>
          </rPr>
          <t xml:space="preserve">This is the </t>
        </r>
        <r>
          <rPr>
            <sz val="10"/>
            <color indexed="10"/>
            <rFont val="Tahoma"/>
            <family val="2"/>
          </rPr>
          <t>number of tree counts</t>
        </r>
        <r>
          <rPr>
            <sz val="10"/>
            <rFont val="Tahoma"/>
            <family val="2"/>
          </rPr>
          <t xml:space="preserve"> you need to take to produce the SE% you entered (copied into cell H22 from D9).</t>
        </r>
      </text>
    </comment>
    <comment ref="D24" authorId="0">
      <text>
        <r>
          <rPr>
            <sz val="10"/>
            <rFont val="Tahoma"/>
            <family val="2"/>
          </rPr>
          <t xml:space="preserve">   This is the calculated </t>
        </r>
        <r>
          <rPr>
            <sz val="10"/>
            <color indexed="10"/>
            <rFont val="Tahoma"/>
            <family val="2"/>
          </rPr>
          <t>SE% for the basal area</t>
        </r>
        <r>
          <rPr>
            <sz val="10"/>
            <rFont val="Tahoma"/>
            <family val="2"/>
          </rPr>
          <t xml:space="preserve"> (and Tree Count) using </t>
        </r>
        <r>
          <rPr>
            <sz val="10"/>
            <color indexed="8"/>
            <rFont val="Tahoma"/>
            <family val="2"/>
          </rPr>
          <t>the</t>
        </r>
        <r>
          <rPr>
            <sz val="10"/>
            <rFont val="Tahoma"/>
            <family val="2"/>
          </rPr>
          <t xml:space="preserve"> number of sample points required to get the SE% you desired when all trees are measured on all sample points.
  Typically, it is too large in relation to the SE% for the *BAR.</t>
        </r>
      </text>
    </comment>
    <comment ref="C25" authorId="0">
      <text>
        <r>
          <rPr>
            <sz val="10"/>
            <rFont val="Tahoma"/>
            <family val="2"/>
          </rPr>
          <t xml:space="preserve">  This is the </t>
        </r>
        <r>
          <rPr>
            <sz val="10"/>
            <color indexed="10"/>
            <rFont val="Tahoma"/>
            <family val="2"/>
          </rPr>
          <t>number of measured trees.</t>
        </r>
        <r>
          <rPr>
            <sz val="10"/>
            <rFont val="Tahoma"/>
            <family val="2"/>
          </rPr>
          <t xml:space="preserve">  It is calculated to give the correct overall SE% (under the assumption that the CV in the first section is for *BAR of </t>
        </r>
        <r>
          <rPr>
            <u val="single"/>
            <sz val="10"/>
            <rFont val="Tahoma"/>
            <family val="2"/>
          </rPr>
          <t>trees</t>
        </r>
        <r>
          <rPr>
            <sz val="10"/>
            <rFont val="Tahoma"/>
            <family val="2"/>
          </rPr>
          <t>).  If "too many" measurements are taken (this is the usual case) it reduces the  number of plots.</t>
        </r>
        <r>
          <rPr>
            <sz val="10"/>
            <rFont val="Tahoma"/>
            <family val="0"/>
          </rPr>
          <t xml:space="preserve">
</t>
        </r>
      </text>
    </comment>
    <comment ref="D25" authorId="0">
      <text>
        <r>
          <rPr>
            <sz val="10"/>
            <rFont val="Tahoma"/>
            <family val="2"/>
          </rPr>
          <t xml:space="preserve">This is the </t>
        </r>
        <r>
          <rPr>
            <sz val="10"/>
            <color indexed="10"/>
            <rFont val="Tahoma"/>
            <family val="2"/>
          </rPr>
          <t>SE% for the number of measurements (*BARS) used.</t>
        </r>
        <r>
          <rPr>
            <sz val="10"/>
            <rFont val="Tahoma"/>
            <family val="2"/>
          </rPr>
          <t xml:space="preserve"> </t>
        </r>
      </text>
    </comment>
    <comment ref="D26" authorId="0">
      <text>
        <r>
          <rPr>
            <sz val="10"/>
            <rFont val="Tahoma"/>
            <family val="2"/>
          </rPr>
          <t xml:space="preserve">  This is the </t>
        </r>
        <r>
          <rPr>
            <sz val="10"/>
            <color indexed="10"/>
            <rFont val="Tahoma"/>
            <family val="2"/>
          </rPr>
          <t>TOTAL SE%,</t>
        </r>
        <r>
          <rPr>
            <sz val="10"/>
            <rFont val="Tahoma"/>
            <family val="2"/>
          </rPr>
          <t xml:space="preserve"> combining the two different SE%'s for BA and *BAR.
   It is computed using "Bruce's method". </t>
        </r>
      </text>
    </comment>
    <comment ref="I26" authorId="0">
      <text>
        <r>
          <rPr>
            <sz val="10"/>
            <rFont val="Tahoma"/>
            <family val="2"/>
          </rPr>
          <t xml:space="preserve">  This is the </t>
        </r>
        <r>
          <rPr>
            <sz val="10"/>
            <color indexed="10"/>
            <rFont val="Tahoma"/>
            <family val="2"/>
          </rPr>
          <t>cost per sample point visited.</t>
        </r>
        <r>
          <rPr>
            <sz val="10"/>
            <rFont val="Tahoma"/>
            <family val="2"/>
          </rPr>
          <t xml:space="preserve">  
  It cannot be strictly compared to the other cost per point in cell H11, since different schemes are used.  The </t>
        </r>
        <r>
          <rPr>
            <sz val="10"/>
            <color indexed="10"/>
            <rFont val="Tahoma"/>
            <family val="2"/>
          </rPr>
          <t>relative efficiency is best expressed by cell F27, or I27.</t>
        </r>
      </text>
    </comment>
    <comment ref="C27" authorId="0">
      <text>
        <r>
          <rPr>
            <sz val="10"/>
            <rFont val="Tahoma"/>
            <family val="2"/>
          </rPr>
          <t xml:space="preserve">  This is the </t>
        </r>
        <r>
          <rPr>
            <sz val="10"/>
            <color indexed="10"/>
            <rFont val="Tahoma"/>
            <family val="2"/>
          </rPr>
          <t>total cost</t>
        </r>
        <r>
          <rPr>
            <sz val="10"/>
            <rFont val="Tahoma"/>
            <family val="2"/>
          </rPr>
          <t xml:space="preserve"> of obtaining the required SE% (cell D26) </t>
        </r>
        <r>
          <rPr>
            <sz val="10"/>
            <color indexed="10"/>
            <rFont val="Tahoma"/>
            <family val="2"/>
          </rPr>
          <t>IF</t>
        </r>
        <r>
          <rPr>
            <sz val="10"/>
            <rFont val="Tahoma"/>
            <family val="2"/>
          </rPr>
          <t xml:space="preserve"> you choose to measure </t>
        </r>
        <r>
          <rPr>
            <sz val="10"/>
            <color indexed="10"/>
            <rFont val="Tahoma"/>
            <family val="2"/>
          </rPr>
          <t>all</t>
        </r>
        <r>
          <rPr>
            <sz val="10"/>
            <rFont val="Tahoma"/>
            <family val="2"/>
          </rPr>
          <t xml:space="preserve"> the trees on </t>
        </r>
        <r>
          <rPr>
            <sz val="10"/>
            <color indexed="10"/>
            <rFont val="Tahoma"/>
            <family val="2"/>
          </rPr>
          <t>all</t>
        </r>
        <r>
          <rPr>
            <sz val="10"/>
            <rFont val="Tahoma"/>
            <family val="2"/>
          </rPr>
          <t xml:space="preserve"> the points.</t>
        </r>
      </text>
    </comment>
    <comment ref="F27" authorId="0">
      <text>
        <r>
          <rPr>
            <sz val="10"/>
            <rFont val="Tahoma"/>
            <family val="2"/>
          </rPr>
          <t xml:space="preserve">This is the </t>
        </r>
        <r>
          <rPr>
            <sz val="10"/>
            <color indexed="10"/>
            <rFont val="Tahoma"/>
            <family val="2"/>
          </rPr>
          <t>relative cost of the "full measure" plots</t>
        </r>
        <r>
          <rPr>
            <sz val="10"/>
            <rFont val="Tahoma"/>
            <family val="2"/>
          </rPr>
          <t xml:space="preserve"> as a percentage of the optimal ratio of C:M (to get the same result).</t>
        </r>
      </text>
    </comment>
    <comment ref="I27" authorId="0">
      <text>
        <r>
          <rPr>
            <sz val="10"/>
            <rFont val="Tahoma"/>
            <family val="2"/>
          </rPr>
          <t xml:space="preserve">  This is the </t>
        </r>
        <r>
          <rPr>
            <sz val="10"/>
            <color indexed="10"/>
            <rFont val="Tahoma"/>
            <family val="2"/>
          </rPr>
          <t>efficiency of the "full measured" option,</t>
        </r>
        <r>
          <rPr>
            <sz val="10"/>
            <rFont val="Tahoma"/>
            <family val="2"/>
          </rPr>
          <t xml:space="preserve"> as compared to the </t>
        </r>
        <r>
          <rPr>
            <i/>
            <sz val="10"/>
            <rFont val="Tahoma"/>
            <family val="2"/>
          </rPr>
          <t>optimal</t>
        </r>
        <r>
          <rPr>
            <sz val="10"/>
            <rFont val="Tahoma"/>
            <family val="2"/>
          </rPr>
          <t xml:space="preserve"> C:M ratio, (including fixed costs).  
</t>
        </r>
      </text>
    </comment>
    <comment ref="D29" authorId="0">
      <text>
        <r>
          <rPr>
            <sz val="10"/>
            <rFont val="Tahoma"/>
            <family val="2"/>
          </rPr>
          <t xml:space="preserve">  </t>
        </r>
        <r>
          <rPr>
            <sz val="10"/>
            <color indexed="10"/>
            <rFont val="Tahoma"/>
            <family val="2"/>
          </rPr>
          <t xml:space="preserve">This section will calculate the "t-value" </t>
        </r>
        <r>
          <rPr>
            <sz val="10"/>
            <color indexed="18"/>
            <rFont val="Tahoma"/>
            <family val="2"/>
          </rPr>
          <t>for any number of observations</t>
        </r>
        <r>
          <rPr>
            <sz val="10"/>
            <rFont val="Tahoma"/>
            <family val="2"/>
          </rPr>
          <t xml:space="preserve"> and any confidence level entered in the red cells, which is easier than interpolating a standard "t table".
If you want to see a t-table, there is one reproduced starting at cell AO2 at the right side of this spreadsheet.</t>
        </r>
      </text>
    </comment>
    <comment ref="G29" authorId="0">
      <text>
        <r>
          <rPr>
            <sz val="10"/>
            <rFont val="Tahoma"/>
            <family val="2"/>
          </rPr>
          <t xml:space="preserve">  </t>
        </r>
        <r>
          <rPr>
            <sz val="10"/>
            <color indexed="10"/>
            <rFont val="Tahoma"/>
            <family val="2"/>
          </rPr>
          <t xml:space="preserve">These are the results that I would report if I was working with the SE% you entered into the yellow cell (D30).
               </t>
        </r>
        <r>
          <rPr>
            <b/>
            <sz val="10"/>
            <color indexed="10"/>
            <rFont val="Tahoma"/>
            <family val="2"/>
          </rPr>
          <t xml:space="preserve">  I would say:</t>
        </r>
        <r>
          <rPr>
            <sz val="10"/>
            <color indexed="12"/>
            <rFont val="Tahoma"/>
            <family val="2"/>
          </rPr>
          <t xml:space="preserve">
The current average has :
</t>
        </r>
        <r>
          <rPr>
            <u val="single"/>
            <sz val="10"/>
            <color indexed="12"/>
            <rFont val="Tahoma"/>
            <family val="2"/>
          </rPr>
          <t xml:space="preserve">about a </t>
        </r>
        <r>
          <rPr>
            <u val="single"/>
            <sz val="10"/>
            <color indexed="10"/>
            <rFont val="Tahoma"/>
            <family val="2"/>
          </rPr>
          <t>5%</t>
        </r>
        <r>
          <rPr>
            <u val="single"/>
            <sz val="10"/>
            <color indexed="12"/>
            <rFont val="Tahoma"/>
            <family val="2"/>
          </rPr>
          <t xml:space="preserve"> chance</t>
        </r>
        <r>
          <rPr>
            <sz val="10"/>
            <color indexed="12"/>
            <rFont val="Tahoma"/>
            <family val="2"/>
          </rPr>
          <t xml:space="preserve"> of being :
    </t>
        </r>
        <r>
          <rPr>
            <u val="single"/>
            <sz val="10"/>
            <color indexed="12"/>
            <rFont val="Tahoma"/>
            <family val="2"/>
          </rPr>
          <t>closer than</t>
        </r>
        <r>
          <rPr>
            <sz val="10"/>
            <color indexed="12"/>
            <rFont val="Tahoma"/>
            <family val="2"/>
          </rPr>
          <t xml:space="preserve"> {</t>
        </r>
        <r>
          <rPr>
            <i/>
            <sz val="10"/>
            <color indexed="12"/>
            <rFont val="Tahoma"/>
            <family val="2"/>
          </rPr>
          <t>enter the 5% answer</t>
        </r>
        <r>
          <rPr>
            <sz val="10"/>
            <color indexed="12"/>
            <rFont val="Tahoma"/>
            <family val="2"/>
          </rPr>
          <t xml:space="preserve">} or 
    </t>
        </r>
        <r>
          <rPr>
            <u val="single"/>
            <sz val="10"/>
            <color indexed="12"/>
            <rFont val="Tahoma"/>
            <family val="2"/>
          </rPr>
          <t>further away</t>
        </r>
        <r>
          <rPr>
            <sz val="10"/>
            <color indexed="12"/>
            <rFont val="Tahoma"/>
            <family val="2"/>
          </rPr>
          <t xml:space="preserve"> than {</t>
        </r>
        <r>
          <rPr>
            <i/>
            <sz val="10"/>
            <color indexed="12"/>
            <rFont val="Tahoma"/>
            <family val="2"/>
          </rPr>
          <t>enter the 95% answer</t>
        </r>
        <r>
          <rPr>
            <sz val="10"/>
            <color indexed="12"/>
            <rFont val="Tahoma"/>
            <family val="2"/>
          </rPr>
          <t xml:space="preserve">} 
         from the final answer, 
has </t>
        </r>
        <r>
          <rPr>
            <u val="single"/>
            <sz val="10"/>
            <color indexed="10"/>
            <rFont val="Tahoma"/>
            <family val="2"/>
          </rPr>
          <t>about an equal chance</t>
        </r>
        <r>
          <rPr>
            <sz val="10"/>
            <color indexed="12"/>
            <rFont val="Tahoma"/>
            <family val="2"/>
          </rPr>
          <t xml:space="preserve"> of being closer or further away than {</t>
        </r>
        <r>
          <rPr>
            <i/>
            <sz val="10"/>
            <color indexed="12"/>
            <rFont val="Tahoma"/>
            <family val="2"/>
          </rPr>
          <t>enter the 50% answer</t>
        </r>
        <r>
          <rPr>
            <sz val="10"/>
            <color indexed="12"/>
            <rFont val="Tahoma"/>
            <family val="2"/>
          </rPr>
          <t xml:space="preserve">} from the final answer.  
  The "final answer" being the answer that you would get </t>
        </r>
        <r>
          <rPr>
            <i/>
            <sz val="10"/>
            <color indexed="12"/>
            <rFont val="Tahoma"/>
            <family val="2"/>
          </rPr>
          <t>if we went on sampling this way forever</t>
        </r>
        <r>
          <rPr>
            <sz val="10"/>
            <color indexed="12"/>
            <rFont val="Tahoma"/>
            <family val="2"/>
          </rPr>
          <t xml:space="preserve"> (and is the </t>
        </r>
        <r>
          <rPr>
            <u val="single"/>
            <sz val="10"/>
            <color indexed="12"/>
            <rFont val="Tahoma"/>
            <family val="2"/>
          </rPr>
          <t>correct</t>
        </r>
        <r>
          <rPr>
            <sz val="10"/>
            <color indexed="12"/>
            <rFont val="Tahoma"/>
            <family val="2"/>
          </rPr>
          <t xml:space="preserve"> answer only if there is no bias in the process).</t>
        </r>
        <r>
          <rPr>
            <sz val="10"/>
            <rFont val="Tahoma"/>
            <family val="2"/>
          </rPr>
          <t xml:space="preserve">
</t>
        </r>
      </text>
    </comment>
    <comment ref="J29" authorId="0">
      <text>
        <r>
          <rPr>
            <sz val="10"/>
            <rFont val="Tahoma"/>
            <family val="2"/>
          </rPr>
          <t xml:space="preserve">  In case you want to see what the standard set of statements would be with the data from part 1, the </t>
        </r>
        <r>
          <rPr>
            <sz val="10"/>
            <color indexed="10"/>
            <rFont val="Tahoma"/>
            <family val="2"/>
          </rPr>
          <t>Optimal Section,</t>
        </r>
        <r>
          <rPr>
            <sz val="10"/>
            <rFont val="Tahoma"/>
            <family val="2"/>
          </rPr>
          <t xml:space="preserve"> these are reproduced for your convenience.
  </t>
        </r>
        <r>
          <rPr>
            <sz val="10"/>
            <color indexed="10"/>
            <rFont val="Tahoma"/>
            <family val="2"/>
          </rPr>
          <t>Just fill them into cell E30</t>
        </r>
        <r>
          <rPr>
            <sz val="10"/>
            <rFont val="Tahoma"/>
            <family val="2"/>
          </rPr>
          <t xml:space="preserve"> if you are interested in the results for the total or the individual parts.</t>
        </r>
      </text>
    </comment>
    <comment ref="B30" authorId="0">
      <text>
        <r>
          <rPr>
            <sz val="10"/>
            <rFont val="Tahoma"/>
            <family val="2"/>
          </rPr>
          <t xml:space="preserve">  </t>
        </r>
        <r>
          <rPr>
            <sz val="10"/>
            <color indexed="10"/>
            <rFont val="Tahoma"/>
            <family val="2"/>
          </rPr>
          <t xml:space="preserve">Enter </t>
        </r>
        <r>
          <rPr>
            <sz val="10"/>
            <color indexed="18"/>
            <rFont val="Tahoma"/>
            <family val="2"/>
          </rPr>
          <t>the</t>
        </r>
        <r>
          <rPr>
            <sz val="10"/>
            <color indexed="10"/>
            <rFont val="Tahoma"/>
            <family val="2"/>
          </rPr>
          <t xml:space="preserve"> percent "confidence" you want.
</t>
        </r>
        <r>
          <rPr>
            <sz val="10"/>
            <rFont val="Tahoma"/>
            <family val="2"/>
          </rPr>
          <t xml:space="preserve">  For the seriously geeky, this is the 
"2-tailed" value, meaning there is 2.5% on each side of the t-value that will be shown when you put in a 95% confidence limit.  
  My own preference is to use the 50% confidence level whenever possible.</t>
        </r>
      </text>
    </comment>
    <comment ref="E30" authorId="0">
      <text>
        <r>
          <rPr>
            <sz val="10"/>
            <rFont val="Tahoma"/>
            <family val="2"/>
          </rPr>
          <t xml:space="preserve">You can </t>
        </r>
        <r>
          <rPr>
            <sz val="10"/>
            <color indexed="10"/>
            <rFont val="Tahoma"/>
            <family val="2"/>
          </rPr>
          <t xml:space="preserve">enter any SE%  that you want.
</t>
        </r>
        <r>
          <rPr>
            <sz val="10"/>
            <rFont val="Tahoma"/>
            <family val="2"/>
          </rPr>
          <t xml:space="preserve">   </t>
        </r>
        <r>
          <rPr>
            <u val="single"/>
            <sz val="10"/>
            <rFont val="Tahoma"/>
            <family val="2"/>
          </rPr>
          <t>Initially</t>
        </r>
        <r>
          <rPr>
            <sz val="10"/>
            <rFont val="Tahoma"/>
            <family val="2"/>
          </rPr>
          <t xml:space="preserve"> the original spreadsheet is set up to copy the SE% you desired in the optimal section at the top of the spreadsheet (cell D9).</t>
        </r>
      </text>
    </comment>
    <comment ref="J30" authorId="0">
      <text>
        <r>
          <rPr>
            <sz val="10"/>
            <rFont val="Tahoma"/>
            <family val="2"/>
          </rPr>
          <t xml:space="preserve">  This a </t>
        </r>
        <r>
          <rPr>
            <sz val="10"/>
            <color indexed="10"/>
            <rFont val="Tahoma"/>
            <family val="2"/>
          </rPr>
          <t>copy of the</t>
        </r>
        <r>
          <rPr>
            <sz val="10"/>
            <rFont val="Tahoma"/>
            <family val="2"/>
          </rPr>
          <t xml:space="preserve"> </t>
        </r>
        <r>
          <rPr>
            <sz val="10"/>
            <color indexed="10"/>
            <rFont val="Tahoma"/>
            <family val="2"/>
          </rPr>
          <t xml:space="preserve">SE% for Basal area  from section #1 </t>
        </r>
        <r>
          <rPr>
            <sz val="10"/>
            <rFont val="Tahoma"/>
            <family val="2"/>
          </rPr>
          <t xml:space="preserve">(Optimal calculation of TC vs *BAR).  
   SE% for </t>
        </r>
        <r>
          <rPr>
            <i/>
            <sz val="10"/>
            <rFont val="Tahoma"/>
            <family val="2"/>
          </rPr>
          <t>Basal Area</t>
        </r>
        <r>
          <rPr>
            <sz val="10"/>
            <rFont val="Tahoma"/>
            <family val="2"/>
          </rPr>
          <t xml:space="preserve"> and </t>
        </r>
        <r>
          <rPr>
            <i/>
            <sz val="10"/>
            <rFont val="Tahoma"/>
            <family val="2"/>
          </rPr>
          <t>Tree Count</t>
        </r>
        <r>
          <rPr>
            <sz val="10"/>
            <rFont val="Tahoma"/>
            <family val="2"/>
          </rPr>
          <t xml:space="preserve"> are, of course, the same.</t>
        </r>
      </text>
    </comment>
    <comment ref="B31" authorId="0">
      <text>
        <r>
          <rPr>
            <sz val="10"/>
            <color indexed="10"/>
            <rFont val="Tahoma"/>
            <family val="2"/>
          </rPr>
          <t xml:space="preserve">   Enter</t>
        </r>
        <r>
          <rPr>
            <sz val="10"/>
            <rFont val="Tahoma"/>
            <family val="2"/>
          </rPr>
          <t xml:space="preserve"> the </t>
        </r>
        <r>
          <rPr>
            <sz val="10"/>
            <color indexed="10"/>
            <rFont val="Tahoma"/>
            <family val="2"/>
          </rPr>
          <t>number of observations (n).</t>
        </r>
        <r>
          <rPr>
            <sz val="10"/>
            <rFont val="Tahoma"/>
            <family val="2"/>
          </rPr>
          <t xml:space="preserve">
</t>
        </r>
        <r>
          <rPr>
            <u val="single"/>
            <sz val="10"/>
            <rFont val="Tahoma"/>
            <family val="2"/>
          </rPr>
          <t>(Not</t>
        </r>
        <r>
          <rPr>
            <sz val="10"/>
            <rFont val="Tahoma"/>
            <family val="2"/>
          </rPr>
          <t xml:space="preserve"> the "degrees of freedom, which is n-1.)</t>
        </r>
      </text>
    </comment>
    <comment ref="E31" authorId="0">
      <text>
        <r>
          <rPr>
            <sz val="10"/>
            <rFont val="Tahoma"/>
            <family val="2"/>
          </rPr>
          <t xml:space="preserve">  This is simply the </t>
        </r>
        <r>
          <rPr>
            <sz val="10"/>
            <color indexed="10"/>
            <rFont val="Tahoma"/>
            <family val="2"/>
          </rPr>
          <t>"t" value</t>
        </r>
        <r>
          <rPr>
            <sz val="10"/>
            <rFont val="Tahoma"/>
            <family val="2"/>
          </rPr>
          <t xml:space="preserve"> in cell B32 </t>
        </r>
        <r>
          <rPr>
            <sz val="10"/>
            <color indexed="10"/>
            <rFont val="Tahoma"/>
            <family val="2"/>
          </rPr>
          <t>times the SE%</t>
        </r>
        <r>
          <rPr>
            <sz val="10"/>
            <rFont val="Tahoma"/>
            <family val="2"/>
          </rPr>
          <t xml:space="preserve"> you entered in the yellow cell above.</t>
        </r>
      </text>
    </comment>
    <comment ref="G31" authorId="0">
      <text>
        <r>
          <rPr>
            <sz val="10"/>
            <rFont val="Tahoma"/>
            <family val="2"/>
          </rPr>
          <t xml:space="preserve">  With the SE% from cell E30, and the sample size you entered, </t>
        </r>
        <r>
          <rPr>
            <sz val="10"/>
            <color indexed="10"/>
            <rFont val="Tahoma"/>
            <family val="2"/>
          </rPr>
          <t xml:space="preserve">there is about a 5% chance that you are actually </t>
        </r>
        <r>
          <rPr>
            <u val="single"/>
            <sz val="10"/>
            <color indexed="10"/>
            <rFont val="Tahoma"/>
            <family val="2"/>
          </rPr>
          <t>closer</t>
        </r>
        <r>
          <rPr>
            <sz val="10"/>
            <color indexed="10"/>
            <rFont val="Tahoma"/>
            <family val="2"/>
          </rPr>
          <t xml:space="preserve"> than this</t>
        </r>
        <r>
          <rPr>
            <sz val="10"/>
            <rFont val="Tahoma"/>
            <family val="2"/>
          </rPr>
          <t xml:space="preserve"> to the final answer.  </t>
        </r>
      </text>
    </comment>
    <comment ref="J31" authorId="0">
      <text>
        <r>
          <rPr>
            <sz val="10"/>
            <rFont val="Tahoma"/>
            <family val="2"/>
          </rPr>
          <t xml:space="preserve">  This a </t>
        </r>
        <r>
          <rPr>
            <u val="single"/>
            <sz val="10"/>
            <color indexed="10"/>
            <rFont val="Tahoma"/>
            <family val="2"/>
          </rPr>
          <t>copy</t>
        </r>
        <r>
          <rPr>
            <sz val="10"/>
            <color indexed="10"/>
            <rFont val="Tahoma"/>
            <family val="2"/>
          </rPr>
          <t xml:space="preserve"> </t>
        </r>
        <r>
          <rPr>
            <sz val="10"/>
            <color indexed="18"/>
            <rFont val="Tahoma"/>
            <family val="2"/>
          </rPr>
          <t>of the</t>
        </r>
        <r>
          <rPr>
            <sz val="10"/>
            <color indexed="10"/>
            <rFont val="Tahoma"/>
            <family val="2"/>
          </rPr>
          <t xml:space="preserve"> SE% for </t>
        </r>
        <r>
          <rPr>
            <u val="single"/>
            <sz val="10"/>
            <color indexed="10"/>
            <rFont val="Tahoma"/>
            <family val="2"/>
          </rPr>
          <t>*BAR</t>
        </r>
        <r>
          <rPr>
            <sz val="10"/>
            <color indexed="10"/>
            <rFont val="Tahoma"/>
            <family val="2"/>
          </rPr>
          <t xml:space="preserve"> </t>
        </r>
        <r>
          <rPr>
            <sz val="10"/>
            <color indexed="18"/>
            <rFont val="Tahoma"/>
            <family val="2"/>
          </rPr>
          <t xml:space="preserve">from the section on </t>
        </r>
        <r>
          <rPr>
            <sz val="10"/>
            <rFont val="Tahoma"/>
            <family val="2"/>
          </rPr>
          <t>optimal sampling.</t>
        </r>
      </text>
    </comment>
    <comment ref="C32" authorId="0">
      <text>
        <r>
          <rPr>
            <sz val="10"/>
            <color indexed="10"/>
            <rFont val="Tahoma"/>
            <family val="2"/>
          </rPr>
          <t xml:space="preserve">  This is the "t-value"</t>
        </r>
        <r>
          <rPr>
            <sz val="10"/>
            <rFont val="Tahoma"/>
            <family val="2"/>
          </rPr>
          <t xml:space="preserve"> for the confidence level and the number of observations you have entered.</t>
        </r>
      </text>
    </comment>
    <comment ref="G32" authorId="0">
      <text>
        <r>
          <rPr>
            <sz val="10"/>
            <rFont val="Tahoma"/>
            <family val="2"/>
          </rPr>
          <t xml:space="preserve">   With the SE% from Cell E30 and the sample size you entered, there is about a </t>
        </r>
        <r>
          <rPr>
            <sz val="10"/>
            <color indexed="10"/>
            <rFont val="Tahoma"/>
            <family val="2"/>
          </rPr>
          <t>50% chance</t>
        </r>
        <r>
          <rPr>
            <sz val="10"/>
            <rFont val="Tahoma"/>
            <family val="2"/>
          </rPr>
          <t xml:space="preserve"> that the </t>
        </r>
        <r>
          <rPr>
            <sz val="10"/>
            <color indexed="10"/>
            <rFont val="Tahoma"/>
            <family val="2"/>
          </rPr>
          <t>final answer is further away or closer</t>
        </r>
        <r>
          <rPr>
            <sz val="10"/>
            <rFont val="Tahoma"/>
            <family val="2"/>
          </rPr>
          <t xml:space="preserve"> than this percentage.
  This has historically been called the </t>
        </r>
        <r>
          <rPr>
            <sz val="10"/>
            <color indexed="10"/>
            <rFont val="Tahoma"/>
            <family val="2"/>
          </rPr>
          <t>"probable error".</t>
        </r>
      </text>
    </comment>
    <comment ref="J32" authorId="0">
      <text>
        <r>
          <rPr>
            <sz val="10"/>
            <rFont val="Tahoma"/>
            <family val="2"/>
          </rPr>
          <t xml:space="preserve">  This a </t>
        </r>
        <r>
          <rPr>
            <sz val="10"/>
            <color indexed="10"/>
            <rFont val="Tahoma"/>
            <family val="2"/>
          </rPr>
          <t xml:space="preserve">copy of the </t>
        </r>
        <r>
          <rPr>
            <u val="single"/>
            <sz val="10"/>
            <color indexed="10"/>
            <rFont val="Tahoma"/>
            <family val="2"/>
          </rPr>
          <t>combined</t>
        </r>
        <r>
          <rPr>
            <sz val="10"/>
            <color indexed="10"/>
            <rFont val="Tahoma"/>
            <family val="2"/>
          </rPr>
          <t xml:space="preserve"> SE% from section #1. </t>
        </r>
        <r>
          <rPr>
            <sz val="10"/>
            <rFont val="Tahoma"/>
            <family val="2"/>
          </rPr>
          <t>(Optimal calculation of TC vs *BAR)</t>
        </r>
      </text>
    </comment>
    <comment ref="E33" authorId="0">
      <text>
        <r>
          <rPr>
            <sz val="10"/>
            <rFont val="Tahoma"/>
            <family val="2"/>
          </rPr>
          <t xml:space="preserve">This section can be used for </t>
        </r>
        <r>
          <rPr>
            <sz val="10"/>
            <color indexed="10"/>
            <rFont val="Tahoma"/>
            <family val="2"/>
          </rPr>
          <t>computations or notes.</t>
        </r>
      </text>
    </comment>
    <comment ref="G33" authorId="0">
      <text>
        <r>
          <rPr>
            <sz val="10"/>
            <rFont val="Tahoma"/>
            <family val="2"/>
          </rPr>
          <t xml:space="preserve">  With the SE% from Cell E30 and the sample size you entered, </t>
        </r>
        <r>
          <rPr>
            <sz val="10"/>
            <color indexed="10"/>
            <rFont val="Tahoma"/>
            <family val="2"/>
          </rPr>
          <t xml:space="preserve">there is about a 5% chance that you are actually </t>
        </r>
        <r>
          <rPr>
            <u val="double"/>
            <sz val="10"/>
            <color indexed="10"/>
            <rFont val="Tahoma"/>
            <family val="2"/>
          </rPr>
          <t>further</t>
        </r>
        <r>
          <rPr>
            <u val="single"/>
            <sz val="10"/>
            <color indexed="10"/>
            <rFont val="Tahoma"/>
            <family val="2"/>
          </rPr>
          <t xml:space="preserve"> than this</t>
        </r>
        <r>
          <rPr>
            <sz val="10"/>
            <rFont val="Tahoma"/>
            <family val="2"/>
          </rPr>
          <t xml:space="preserve"> from the final answer.
  </t>
        </r>
      </text>
    </comment>
    <comment ref="H36" authorId="0">
      <text>
        <r>
          <rPr>
            <sz val="10"/>
            <rFont val="Tahoma"/>
            <family val="2"/>
          </rPr>
          <t xml:space="preserve">  </t>
        </r>
        <r>
          <rPr>
            <sz val="10"/>
            <color indexed="10"/>
            <rFont val="Tahoma"/>
            <family val="2"/>
          </rPr>
          <t xml:space="preserve">Put in convenient </t>
        </r>
        <r>
          <rPr>
            <u val="single"/>
            <sz val="10"/>
            <color indexed="10"/>
            <rFont val="Tahoma"/>
            <family val="2"/>
          </rPr>
          <t>English</t>
        </r>
        <r>
          <rPr>
            <sz val="10"/>
            <color indexed="10"/>
            <rFont val="Tahoma"/>
            <family val="2"/>
          </rPr>
          <t xml:space="preserve"> BAFs</t>
        </r>
        <r>
          <rPr>
            <sz val="10"/>
            <rFont val="Tahoma"/>
            <family val="2"/>
          </rPr>
          <t xml:space="preserve">. (English BAFs are just 4.356 * metric BAFs).  Then you can calculate distances in feet from a standard 8.5" sheet of paper on the wall to </t>
        </r>
        <r>
          <rPr>
            <sz val="10"/>
            <color indexed="10"/>
            <rFont val="Tahoma"/>
            <family val="2"/>
          </rPr>
          <t>calibrate your thumb</t>
        </r>
        <r>
          <rPr>
            <sz val="10"/>
            <rFont val="Tahoma"/>
            <family val="2"/>
          </rPr>
          <t xml:space="preserve"> for rough work. 
  If you usually use a particular prism, stand at that distance and find something to use to create that angle for approximate work (the width of 2 fingers, or your increment bore, for instance).  With your </t>
        </r>
        <r>
          <rPr>
            <sz val="10"/>
            <color indexed="10"/>
            <rFont val="Tahoma"/>
            <family val="2"/>
          </rPr>
          <t>thumb</t>
        </r>
        <r>
          <rPr>
            <sz val="10"/>
            <rFont val="Tahoma"/>
            <family val="2"/>
          </rPr>
          <t xml:space="preserve"> the measured distance is to your </t>
        </r>
        <r>
          <rPr>
            <sz val="10"/>
            <color indexed="10"/>
            <rFont val="Tahoma"/>
            <family val="2"/>
          </rPr>
          <t>EYE,</t>
        </r>
        <r>
          <rPr>
            <sz val="10"/>
            <rFont val="Tahoma"/>
            <family val="2"/>
          </rPr>
          <t xml:space="preserve"> since that is </t>
        </r>
        <r>
          <rPr>
            <b/>
            <sz val="10"/>
            <color indexed="12"/>
            <rFont val="Tahoma"/>
            <family val="2"/>
          </rPr>
          <t>the vertex of the angle</t>
        </r>
        <r>
          <rPr>
            <sz val="10"/>
            <rFont val="Tahoma"/>
            <family val="2"/>
          </rPr>
          <t xml:space="preserve"> being created.  
  With </t>
        </r>
        <r>
          <rPr>
            <sz val="10"/>
            <color indexed="10"/>
            <rFont val="Tahoma"/>
            <family val="2"/>
          </rPr>
          <t>prisms,</t>
        </r>
        <r>
          <rPr>
            <sz val="10"/>
            <rFont val="Tahoma"/>
            <family val="2"/>
          </rPr>
          <t xml:space="preserve"> the angle vertex occurs at the </t>
        </r>
        <r>
          <rPr>
            <sz val="10"/>
            <color indexed="10"/>
            <rFont val="Tahoma"/>
            <family val="2"/>
          </rPr>
          <t>prism.</t>
        </r>
        <r>
          <rPr>
            <sz val="10"/>
            <rFont val="Tahoma"/>
            <family val="2"/>
          </rPr>
          <t xml:space="preserve">  With a </t>
        </r>
        <r>
          <rPr>
            <sz val="10"/>
            <color indexed="10"/>
            <rFont val="Tahoma"/>
            <family val="2"/>
          </rPr>
          <t>Relascope,</t>
        </r>
        <r>
          <rPr>
            <sz val="10"/>
            <rFont val="Tahoma"/>
            <family val="2"/>
          </rPr>
          <t xml:space="preserve"> it is roughly at your </t>
        </r>
        <r>
          <rPr>
            <sz val="10"/>
            <color indexed="10"/>
            <rFont val="Tahoma"/>
            <family val="2"/>
          </rPr>
          <t>eye</t>
        </r>
        <r>
          <rPr>
            <sz val="10"/>
            <rFont val="Tahoma"/>
            <family val="2"/>
          </rPr>
          <t xml:space="preserve"> again.  </t>
        </r>
      </text>
    </comment>
    <comment ref="H37" authorId="0">
      <text>
        <r>
          <rPr>
            <sz val="10"/>
            <rFont val="Tahoma"/>
            <family val="2"/>
          </rPr>
          <t xml:space="preserve">  </t>
        </r>
        <r>
          <rPr>
            <sz val="10"/>
            <color indexed="10"/>
            <rFont val="Tahoma"/>
            <family val="2"/>
          </rPr>
          <t xml:space="preserve">Enter the size of the </t>
        </r>
        <r>
          <rPr>
            <b/>
            <sz val="10"/>
            <color indexed="12"/>
            <rFont val="Tahoma"/>
            <family val="2"/>
          </rPr>
          <t>flat</t>
        </r>
        <r>
          <rPr>
            <sz val="10"/>
            <color indexed="10"/>
            <rFont val="Tahoma"/>
            <family val="2"/>
          </rPr>
          <t xml:space="preserve"> target used in </t>
        </r>
        <r>
          <rPr>
            <b/>
            <sz val="10"/>
            <color indexed="12"/>
            <rFont val="Tahoma"/>
            <family val="2"/>
          </rPr>
          <t>inches.</t>
        </r>
        <r>
          <rPr>
            <sz val="10"/>
            <rFont val="Tahoma"/>
            <family val="2"/>
          </rPr>
          <t xml:space="preserve">
  This is initially set at 8.5 inches, the size of a standard sheet of paper (in feet).  Colored paper on a wall is a very effective target, but you can enter another size if you want.</t>
        </r>
      </text>
    </comment>
    <comment ref="C38" authorId="0">
      <text>
        <r>
          <rPr>
            <sz val="10"/>
            <rFont val="Tahoma"/>
            <family val="2"/>
          </rPr>
          <t xml:space="preserve">Enter the </t>
        </r>
        <r>
          <rPr>
            <sz val="10"/>
            <color indexed="10"/>
            <rFont val="Tahoma"/>
            <family val="2"/>
          </rPr>
          <t>width of the target</t>
        </r>
        <r>
          <rPr>
            <sz val="10"/>
            <rFont val="Tahoma"/>
            <family val="2"/>
          </rPr>
          <t xml:space="preserve"> 
(in inches).</t>
        </r>
      </text>
    </comment>
    <comment ref="F38" authorId="0">
      <text>
        <r>
          <rPr>
            <sz val="10"/>
            <rFont val="Tahoma"/>
            <family val="2"/>
          </rPr>
          <t xml:space="preserve">  This is the </t>
        </r>
        <r>
          <rPr>
            <sz val="10"/>
            <color indexed="10"/>
            <rFont val="Tahoma"/>
            <family val="2"/>
          </rPr>
          <t xml:space="preserve">Calculated </t>
        </r>
        <r>
          <rPr>
            <u val="single"/>
            <sz val="10"/>
            <color indexed="10"/>
            <rFont val="Tahoma"/>
            <family val="2"/>
          </rPr>
          <t>English</t>
        </r>
        <r>
          <rPr>
            <sz val="10"/>
            <color indexed="10"/>
            <rFont val="Tahoma"/>
            <family val="2"/>
          </rPr>
          <t xml:space="preserve"> BAF</t>
        </r>
        <r>
          <rPr>
            <sz val="10"/>
            <rFont val="Tahoma"/>
            <family val="2"/>
          </rPr>
          <t xml:space="preserve"> of that target at that distance, in </t>
        </r>
        <r>
          <rPr>
            <sz val="10"/>
            <color indexed="10"/>
            <rFont val="Tahoma"/>
            <family val="2"/>
          </rPr>
          <t>square feet per acre.</t>
        </r>
        <r>
          <rPr>
            <sz val="10"/>
            <rFont val="Tahoma"/>
            <family val="2"/>
          </rPr>
          <t xml:space="preserve">
  </t>
        </r>
        <r>
          <rPr>
            <sz val="10"/>
            <color indexed="14"/>
            <rFont val="Tahoma"/>
            <family val="2"/>
          </rPr>
          <t xml:space="preserve">The actual BAF should be defined by the Plot Radius Factor (PRF) that is used to check borderline trees (see sub-section at lower left of this tan colored section). </t>
        </r>
        <r>
          <rPr>
            <sz val="10"/>
            <rFont val="Tahoma"/>
            <family val="2"/>
          </rPr>
          <t xml:space="preserve"> </t>
        </r>
        <r>
          <rPr>
            <i/>
            <sz val="10"/>
            <rFont val="Tahoma"/>
            <family val="2"/>
          </rPr>
          <t>If you do not check borderline trees,</t>
        </r>
        <r>
          <rPr>
            <sz val="10"/>
            <rFont val="Tahoma"/>
            <family val="2"/>
          </rPr>
          <t xml:space="preserve"> the BAF is this calculated one, and it depends on the person using the angle guage, as well as the instrument.</t>
        </r>
      </text>
    </comment>
    <comment ref="H38" authorId="0">
      <text>
        <r>
          <rPr>
            <sz val="10"/>
            <rFont val="Tahoma"/>
            <family val="2"/>
          </rPr>
          <t xml:space="preserve">  
    This is the </t>
        </r>
        <r>
          <rPr>
            <sz val="10"/>
            <color indexed="10"/>
            <rFont val="Tahoma"/>
            <family val="2"/>
          </rPr>
          <t>horizontal</t>
        </r>
        <r>
          <rPr>
            <sz val="10"/>
            <rFont val="Tahoma"/>
            <family val="2"/>
          </rPr>
          <t xml:space="preserve"> </t>
        </r>
        <r>
          <rPr>
            <sz val="10"/>
            <color indexed="10"/>
            <rFont val="Tahoma"/>
            <family val="2"/>
          </rPr>
          <t xml:space="preserve">distance from the target (cell </t>
        </r>
        <r>
          <rPr>
            <sz val="10"/>
            <color indexed="10"/>
            <rFont val="Times New Roman"/>
            <family val="1"/>
          </rPr>
          <t>I</t>
        </r>
        <r>
          <rPr>
            <sz val="10"/>
            <color indexed="10"/>
            <rFont val="Tahoma"/>
            <family val="2"/>
          </rPr>
          <t xml:space="preserve">37, </t>
        </r>
        <r>
          <rPr>
            <sz val="10"/>
            <rFont val="Tahoma"/>
            <family val="2"/>
          </rPr>
          <t xml:space="preserve">in </t>
        </r>
        <r>
          <rPr>
            <b/>
            <sz val="10"/>
            <rFont val="Tahoma"/>
            <family val="2"/>
          </rPr>
          <t>feet</t>
        </r>
        <r>
          <rPr>
            <sz val="10"/>
            <rFont val="Tahoma"/>
            <family val="2"/>
          </rPr>
          <t xml:space="preserve">) where the target should appear "borderline" with the BAF in cell I36.  
</t>
        </r>
      </text>
    </comment>
    <comment ref="J38" authorId="1">
      <text>
        <r>
          <rPr>
            <sz val="9"/>
            <rFont val="Tahoma"/>
            <family val="2"/>
          </rPr>
          <t xml:space="preserve">    If you are calibrating a target held at some distance from your eye : fill in the </t>
        </r>
        <r>
          <rPr>
            <b/>
            <sz val="9"/>
            <color indexed="12"/>
            <rFont val="Tahoma"/>
            <family val="2"/>
          </rPr>
          <t>distance (in feet)</t>
        </r>
        <r>
          <rPr>
            <sz val="9"/>
            <rFont val="Tahoma"/>
            <family val="2"/>
          </rPr>
          <t xml:space="preserve"> from your eye to the target and the </t>
        </r>
        <r>
          <rPr>
            <b/>
            <sz val="9"/>
            <rFont val="Tahoma"/>
            <family val="2"/>
          </rPr>
          <t>BAF</t>
        </r>
        <r>
          <rPr>
            <sz val="9"/>
            <rFont val="Tahoma"/>
            <family val="2"/>
          </rPr>
          <t xml:space="preserve"> desired - this calculates the width of target to use (in inches) to create that BAF.</t>
        </r>
      </text>
    </comment>
    <comment ref="C39" authorId="0">
      <text>
        <r>
          <rPr>
            <sz val="10"/>
            <rFont val="Tahoma"/>
            <family val="2"/>
          </rPr>
          <t xml:space="preserve">Enter the </t>
        </r>
        <r>
          <rPr>
            <sz val="10"/>
            <color indexed="10"/>
            <rFont val="Tahoma"/>
            <family val="2"/>
          </rPr>
          <t>distance to the target.</t>
        </r>
        <r>
          <rPr>
            <sz val="10"/>
            <rFont val="Tahoma"/>
            <family val="2"/>
          </rPr>
          <t xml:space="preserve"> 
(in the feet).</t>
        </r>
      </text>
    </comment>
    <comment ref="C40" authorId="0">
      <text>
        <r>
          <rPr>
            <sz val="10"/>
            <rFont val="Tahoma"/>
            <family val="2"/>
          </rPr>
          <t xml:space="preserve">  Enter a </t>
        </r>
        <r>
          <rPr>
            <sz val="10"/>
            <color indexed="10"/>
            <rFont val="Tahoma"/>
            <family val="2"/>
          </rPr>
          <t>1</t>
        </r>
        <r>
          <rPr>
            <sz val="10"/>
            <rFont val="Tahoma"/>
            <family val="2"/>
          </rPr>
          <t xml:space="preserve"> if you are using a </t>
        </r>
        <r>
          <rPr>
            <sz val="10"/>
            <color indexed="10"/>
            <rFont val="Tahoma"/>
            <family val="2"/>
          </rPr>
          <t>flat</t>
        </r>
        <r>
          <rPr>
            <sz val="10"/>
            <rFont val="Tahoma"/>
            <family val="2"/>
          </rPr>
          <t xml:space="preserve"> target like a sheet of paper, and a </t>
        </r>
        <r>
          <rPr>
            <sz val="10"/>
            <color indexed="10"/>
            <rFont val="Tahoma"/>
            <family val="2"/>
          </rPr>
          <t>0</t>
        </r>
        <r>
          <rPr>
            <sz val="10"/>
            <rFont val="Tahoma"/>
            <family val="2"/>
          </rPr>
          <t xml:space="preserve"> if you are using a </t>
        </r>
        <r>
          <rPr>
            <sz val="10"/>
            <color indexed="10"/>
            <rFont val="Tahoma"/>
            <family val="2"/>
          </rPr>
          <t>cylinder</t>
        </r>
        <r>
          <rPr>
            <sz val="10"/>
            <rFont val="Tahoma"/>
            <family val="2"/>
          </rPr>
          <t xml:space="preserve"> as the target (easy to remember because a zero looks like a cylinder cross-section).
  This is a small correction, but you might as well use it. 
It matters with very large BAFs.</t>
        </r>
      </text>
    </comment>
    <comment ref="K40" authorId="1">
      <text>
        <r>
          <rPr>
            <sz val="10"/>
            <rFont val="Tahoma"/>
            <family val="2"/>
          </rPr>
          <t xml:space="preserve">  </t>
        </r>
        <r>
          <rPr>
            <sz val="9"/>
            <color indexed="12"/>
            <rFont val="Tahoma"/>
            <family val="2"/>
          </rPr>
          <t>The gold cells are here in case you want to make any temporary calculations.</t>
        </r>
      </text>
    </comment>
    <comment ref="H41" authorId="0">
      <text>
        <r>
          <rPr>
            <sz val="10"/>
            <rFont val="Tahoma"/>
            <family val="2"/>
          </rPr>
          <t xml:space="preserve">  This is the </t>
        </r>
        <r>
          <rPr>
            <u val="single"/>
            <sz val="10"/>
            <rFont val="Tahoma"/>
            <family val="2"/>
          </rPr>
          <t>English</t>
        </r>
        <r>
          <rPr>
            <sz val="10"/>
            <rFont val="Tahoma"/>
            <family val="2"/>
          </rPr>
          <t xml:space="preserve"> </t>
        </r>
        <r>
          <rPr>
            <sz val="10"/>
            <color indexed="10"/>
            <rFont val="Tahoma"/>
            <family val="2"/>
          </rPr>
          <t>Plot Radius Factor</t>
        </r>
        <r>
          <rPr>
            <sz val="10"/>
            <rFont val="Tahoma"/>
            <family val="2"/>
          </rPr>
          <t xml:space="preserve"> for the BAF in cell F38, </t>
        </r>
        <r>
          <rPr>
            <sz val="10"/>
            <color indexed="10"/>
            <rFont val="Tahoma"/>
            <family val="2"/>
          </rPr>
          <t>in Feet per inch</t>
        </r>
        <r>
          <rPr>
            <sz val="10"/>
            <rFont val="Tahoma"/>
            <family val="2"/>
          </rPr>
          <t xml:space="preserve"> of DBH to the </t>
        </r>
        <r>
          <rPr>
            <b/>
            <sz val="10"/>
            <rFont val="Tahoma"/>
            <family val="2"/>
          </rPr>
          <t>CENTER</t>
        </r>
        <r>
          <rPr>
            <sz val="10"/>
            <rFont val="Tahoma"/>
            <family val="2"/>
          </rPr>
          <t xml:space="preserve"> of the tree.
</t>
        </r>
      </text>
    </comment>
    <comment ref="H42" authorId="0">
      <text>
        <r>
          <rPr>
            <sz val="10"/>
            <rFont val="Tahoma"/>
            <family val="2"/>
          </rPr>
          <t xml:space="preserve">  This is the </t>
        </r>
        <r>
          <rPr>
            <u val="single"/>
            <sz val="10"/>
            <rFont val="Tahoma"/>
            <family val="2"/>
          </rPr>
          <t>English</t>
        </r>
        <r>
          <rPr>
            <sz val="10"/>
            <rFont val="Tahoma"/>
            <family val="2"/>
          </rPr>
          <t xml:space="preserve"> </t>
        </r>
        <r>
          <rPr>
            <sz val="10"/>
            <color indexed="10"/>
            <rFont val="Tahoma"/>
            <family val="2"/>
          </rPr>
          <t>Plot Radius Factor</t>
        </r>
        <r>
          <rPr>
            <sz val="10"/>
            <rFont val="Tahoma"/>
            <family val="2"/>
          </rPr>
          <t xml:space="preserve"> for the BAF in cell F38, </t>
        </r>
        <r>
          <rPr>
            <sz val="10"/>
            <color indexed="10"/>
            <rFont val="Tahoma"/>
            <family val="2"/>
          </rPr>
          <t>in Feet per inch</t>
        </r>
        <r>
          <rPr>
            <sz val="10"/>
            <rFont val="Tahoma"/>
            <family val="2"/>
          </rPr>
          <t xml:space="preserve"> of DBH to the </t>
        </r>
        <r>
          <rPr>
            <b/>
            <sz val="10"/>
            <rFont val="Tahoma"/>
            <family val="2"/>
          </rPr>
          <t>EDGE</t>
        </r>
        <r>
          <rPr>
            <sz val="10"/>
            <rFont val="Tahoma"/>
            <family val="2"/>
          </rPr>
          <t xml:space="preserve"> of the tree.
</t>
        </r>
      </text>
    </comment>
    <comment ref="B43" authorId="0">
      <text>
        <r>
          <rPr>
            <sz val="10"/>
            <rFont val="Tahoma"/>
            <family val="2"/>
          </rPr>
          <t xml:space="preserve">  If you want to compute the BAF from a particular Plot Radius Factor, this section will do that.   </t>
        </r>
        <r>
          <rPr>
            <sz val="10"/>
            <color indexed="10"/>
            <rFont val="Tahoma"/>
            <family val="2"/>
          </rPr>
          <t>Enter the Plot Radius Factor here.</t>
        </r>
        <r>
          <rPr>
            <sz val="10"/>
            <rFont val="Tahoma"/>
            <family val="2"/>
          </rPr>
          <t xml:space="preserve">
</t>
        </r>
        <r>
          <rPr>
            <sz val="10"/>
            <color indexed="10"/>
            <rFont val="Tahoma"/>
            <family val="2"/>
          </rPr>
          <t>The way you check borderline trees determines the exact BAF that should be used in compilations.</t>
        </r>
        <r>
          <rPr>
            <sz val="10"/>
            <rFont val="Tahoma"/>
            <family val="2"/>
          </rPr>
          <t xml:space="preserve">   If you check them with the Plot Radius Factor, using a particular number of digits, this is how you should compute the BAF for compiling the data.
  If you determine borderline trees by eye, then you should calibrate the prism for yourself, since everyone views "borderline" a bit differently.  
</t>
        </r>
      </text>
    </comment>
    <comment ref="H43" authorId="0">
      <text>
        <r>
          <rPr>
            <sz val="10"/>
            <color indexed="10"/>
            <rFont val="Tahoma"/>
            <family val="2"/>
          </rPr>
          <t xml:space="preserve"> Enter the DBH in inches</t>
        </r>
        <r>
          <rPr>
            <sz val="10"/>
            <rFont val="Tahoma"/>
            <family val="2"/>
          </rPr>
          <t xml:space="preserve"> here (or in the cell below, and it will compute the "critical distance" where the tree is borderline.</t>
        </r>
      </text>
    </comment>
    <comment ref="D44" authorId="0">
      <text>
        <r>
          <rPr>
            <sz val="10"/>
            <rFont val="Tahoma"/>
            <family val="2"/>
          </rPr>
          <t xml:space="preserve">  This is the </t>
        </r>
        <r>
          <rPr>
            <u val="single"/>
            <sz val="10"/>
            <rFont val="Tahoma"/>
            <family val="2"/>
          </rPr>
          <t>English</t>
        </r>
        <r>
          <rPr>
            <sz val="10"/>
            <rFont val="Tahoma"/>
            <family val="2"/>
          </rPr>
          <t xml:space="preserve"> </t>
        </r>
        <r>
          <rPr>
            <sz val="10"/>
            <color indexed="10"/>
            <rFont val="Tahoma"/>
            <family val="2"/>
          </rPr>
          <t>BAF</t>
        </r>
        <r>
          <rPr>
            <sz val="10"/>
            <rFont val="Tahoma"/>
            <family val="2"/>
          </rPr>
          <t xml:space="preserve"> for a Plot Radius Factor (cell B42) measured to the </t>
        </r>
        <r>
          <rPr>
            <sz val="10"/>
            <color indexed="10"/>
            <rFont val="Tahoma"/>
            <family val="2"/>
          </rPr>
          <t>center</t>
        </r>
        <r>
          <rPr>
            <sz val="10"/>
            <rFont val="Tahoma"/>
            <family val="2"/>
          </rPr>
          <t xml:space="preserve"> of a tree in </t>
        </r>
        <r>
          <rPr>
            <sz val="10"/>
            <color indexed="10"/>
            <rFont val="Tahoma"/>
            <family val="2"/>
          </rPr>
          <t>Square feet/acre.</t>
        </r>
      </text>
    </comment>
    <comment ref="E44" authorId="0">
      <text>
        <r>
          <rPr>
            <sz val="10"/>
            <rFont val="Tahoma"/>
            <family val="2"/>
          </rPr>
          <t xml:space="preserve">  This is the </t>
        </r>
        <r>
          <rPr>
            <u val="single"/>
            <sz val="10"/>
            <rFont val="Tahoma"/>
            <family val="2"/>
          </rPr>
          <t>English</t>
        </r>
        <r>
          <rPr>
            <sz val="10"/>
            <rFont val="Tahoma"/>
            <family val="2"/>
          </rPr>
          <t xml:space="preserve"> </t>
        </r>
        <r>
          <rPr>
            <sz val="10"/>
            <color indexed="10"/>
            <rFont val="Tahoma"/>
            <family val="2"/>
          </rPr>
          <t>BAF</t>
        </r>
        <r>
          <rPr>
            <sz val="10"/>
            <rFont val="Tahoma"/>
            <family val="2"/>
          </rPr>
          <t xml:space="preserve"> for a Plot Radius Factor (cell B42) measured to the </t>
        </r>
        <r>
          <rPr>
            <sz val="10"/>
            <color indexed="10"/>
            <rFont val="Tahoma"/>
            <family val="2"/>
          </rPr>
          <t>FACE</t>
        </r>
        <r>
          <rPr>
            <sz val="10"/>
            <rFont val="Tahoma"/>
            <family val="2"/>
          </rPr>
          <t xml:space="preserve"> of a tree in </t>
        </r>
        <r>
          <rPr>
            <sz val="10"/>
            <color indexed="10"/>
            <rFont val="Tahoma"/>
            <family val="2"/>
          </rPr>
          <t>Square feet/acre.</t>
        </r>
      </text>
    </comment>
    <comment ref="G44" authorId="0">
      <text>
        <r>
          <rPr>
            <sz val="10"/>
            <rFont val="Tahoma"/>
            <family val="2"/>
          </rPr>
          <t xml:space="preserve">  With the diameter (cell H43), and the BAF in this section (cell F38, this is the </t>
        </r>
        <r>
          <rPr>
            <sz val="10"/>
            <color indexed="10"/>
            <rFont val="Tahoma"/>
            <family val="2"/>
          </rPr>
          <t>distance at which this tree is "borderline".</t>
        </r>
        <r>
          <rPr>
            <sz val="10"/>
            <rFont val="Tahoma"/>
            <family val="2"/>
          </rPr>
          <t xml:space="preserve">  Distance is from </t>
        </r>
        <r>
          <rPr>
            <sz val="10"/>
            <color indexed="10"/>
            <rFont val="Tahoma"/>
            <family val="2"/>
          </rPr>
          <t>center</t>
        </r>
        <r>
          <rPr>
            <sz val="10"/>
            <rFont val="Tahoma"/>
            <family val="2"/>
          </rPr>
          <t xml:space="preserve"> of tree to the edge of plot, in </t>
        </r>
        <r>
          <rPr>
            <sz val="10"/>
            <color indexed="10"/>
            <rFont val="Tahoma"/>
            <family val="2"/>
          </rPr>
          <t>feet.</t>
        </r>
        <r>
          <rPr>
            <sz val="10"/>
            <rFont val="Tahoma"/>
            <family val="2"/>
          </rPr>
          <t xml:space="preserve">
  ------------------------------
  You can also calculate exact Plot Radius Factors from  BAFs you enter in one of the sections below this one.</t>
        </r>
      </text>
    </comment>
    <comment ref="G45" authorId="0">
      <text>
        <r>
          <rPr>
            <sz val="10"/>
            <rFont val="Tahoma"/>
            <family val="2"/>
          </rPr>
          <t xml:space="preserve">  With the diameter (cell H43), and the BAF in this section (cell F38, this is the </t>
        </r>
        <r>
          <rPr>
            <sz val="10"/>
            <color indexed="10"/>
            <rFont val="Tahoma"/>
            <family val="2"/>
          </rPr>
          <t>distance at which this tree is "borderline".</t>
        </r>
        <r>
          <rPr>
            <sz val="10"/>
            <rFont val="Tahoma"/>
            <family val="2"/>
          </rPr>
          <t xml:space="preserve">  Distance is from </t>
        </r>
        <r>
          <rPr>
            <sz val="10"/>
            <color indexed="10"/>
            <rFont val="Tahoma"/>
            <family val="2"/>
          </rPr>
          <t>FACE</t>
        </r>
        <r>
          <rPr>
            <sz val="10"/>
            <rFont val="Tahoma"/>
            <family val="2"/>
          </rPr>
          <t xml:space="preserve"> of tree to the edge of plot, in </t>
        </r>
        <r>
          <rPr>
            <sz val="10"/>
            <color indexed="10"/>
            <rFont val="Tahoma"/>
            <family val="2"/>
          </rPr>
          <t>feet.</t>
        </r>
        <r>
          <rPr>
            <sz val="10"/>
            <rFont val="Tahoma"/>
            <family val="2"/>
          </rPr>
          <t xml:space="preserve">
  ------------------------------
  You can also calculate exact Plot Radius Factors from  BAFs you enter in one of the sections below this one.</t>
        </r>
      </text>
    </comment>
    <comment ref="H48" authorId="0">
      <text>
        <r>
          <rPr>
            <sz val="10"/>
            <rFont val="Tahoma"/>
            <family val="2"/>
          </rPr>
          <t xml:space="preserve">  </t>
        </r>
        <r>
          <rPr>
            <sz val="10"/>
            <color indexed="10"/>
            <rFont val="Tahoma"/>
            <family val="2"/>
          </rPr>
          <t xml:space="preserve">Put in convenient </t>
        </r>
        <r>
          <rPr>
            <u val="single"/>
            <sz val="10"/>
            <color indexed="10"/>
            <rFont val="Tahoma"/>
            <family val="2"/>
          </rPr>
          <t>Metric</t>
        </r>
        <r>
          <rPr>
            <sz val="10"/>
            <color indexed="10"/>
            <rFont val="Tahoma"/>
            <family val="2"/>
          </rPr>
          <t xml:space="preserve"> BAFs</t>
        </r>
        <r>
          <rPr>
            <sz val="10"/>
            <rFont val="Tahoma"/>
            <family val="2"/>
          </rPr>
          <t xml:space="preserve">.  Then you can calculate distances in feet from a standard 8.5" sheet of paper on the wall to </t>
        </r>
        <r>
          <rPr>
            <sz val="10"/>
            <color indexed="10"/>
            <rFont val="Tahoma"/>
            <family val="2"/>
          </rPr>
          <t>calibrate your thumb</t>
        </r>
        <r>
          <rPr>
            <sz val="10"/>
            <rFont val="Tahoma"/>
            <family val="2"/>
          </rPr>
          <t xml:space="preserve"> for rough work. 
  If you usually use a particular prism, stand at that distance and find something to use to create that angle for approximate work (the width of 2 fingers, or your increment bore, for instance).  With your </t>
        </r>
        <r>
          <rPr>
            <sz val="10"/>
            <color indexed="10"/>
            <rFont val="Tahoma"/>
            <family val="2"/>
          </rPr>
          <t>thumb</t>
        </r>
        <r>
          <rPr>
            <sz val="10"/>
            <rFont val="Tahoma"/>
            <family val="2"/>
          </rPr>
          <t xml:space="preserve"> the distance is to your EYE, since that is the vertex of the angle being created.  
  With </t>
        </r>
        <r>
          <rPr>
            <sz val="10"/>
            <color indexed="10"/>
            <rFont val="Tahoma"/>
            <family val="2"/>
          </rPr>
          <t>prisms,</t>
        </r>
        <r>
          <rPr>
            <sz val="10"/>
            <rFont val="Tahoma"/>
            <family val="2"/>
          </rPr>
          <t xml:space="preserve"> the vertex occurs at the prism.  With a </t>
        </r>
        <r>
          <rPr>
            <sz val="10"/>
            <color indexed="10"/>
            <rFont val="Tahoma"/>
            <family val="2"/>
          </rPr>
          <t>Relascope,</t>
        </r>
        <r>
          <rPr>
            <sz val="10"/>
            <rFont val="Tahoma"/>
            <family val="2"/>
          </rPr>
          <t xml:space="preserve"> it is roughly at your eye again.  </t>
        </r>
      </text>
    </comment>
    <comment ref="H49" authorId="0">
      <text>
        <r>
          <rPr>
            <sz val="10"/>
            <rFont val="Tahoma"/>
            <family val="2"/>
          </rPr>
          <t xml:space="preserve">  </t>
        </r>
        <r>
          <rPr>
            <sz val="10"/>
            <color indexed="10"/>
            <rFont val="Tahoma"/>
            <family val="2"/>
          </rPr>
          <t xml:space="preserve">Enter the size of the </t>
        </r>
        <r>
          <rPr>
            <b/>
            <sz val="10"/>
            <color indexed="12"/>
            <rFont val="Tahoma"/>
            <family val="2"/>
          </rPr>
          <t>flat</t>
        </r>
        <r>
          <rPr>
            <sz val="10"/>
            <color indexed="10"/>
            <rFont val="Tahoma"/>
            <family val="2"/>
          </rPr>
          <t xml:space="preserve"> target used in </t>
        </r>
        <r>
          <rPr>
            <b/>
            <sz val="10"/>
            <color indexed="12"/>
            <rFont val="Tahoma"/>
            <family val="2"/>
          </rPr>
          <t>centimeters.</t>
        </r>
        <r>
          <rPr>
            <sz val="10"/>
            <rFont val="Tahoma"/>
            <family val="2"/>
          </rPr>
          <t xml:space="preserve">
   Colored paper on a wall is a very effective target (21.59 cm in width), but you can enter another size if you want.</t>
        </r>
      </text>
    </comment>
    <comment ref="C50" authorId="0">
      <text>
        <r>
          <rPr>
            <sz val="10"/>
            <rFont val="Tahoma"/>
            <family val="2"/>
          </rPr>
          <t xml:space="preserve">Enter the </t>
        </r>
        <r>
          <rPr>
            <sz val="10"/>
            <color indexed="10"/>
            <rFont val="Tahoma"/>
            <family val="2"/>
          </rPr>
          <t>width of the target</t>
        </r>
        <r>
          <rPr>
            <sz val="10"/>
            <rFont val="Tahoma"/>
            <family val="2"/>
          </rPr>
          <t xml:space="preserve"> 
(in centimeters)</t>
        </r>
      </text>
    </comment>
    <comment ref="H50" authorId="1">
      <text>
        <r>
          <rPr>
            <sz val="9"/>
            <rFont val="Tahoma"/>
            <family val="2"/>
          </rPr>
          <t xml:space="preserve">    If you are calibrating a target held at arms length : fill in the </t>
        </r>
        <r>
          <rPr>
            <b/>
            <sz val="9"/>
            <color indexed="12"/>
            <rFont val="Tahoma"/>
            <family val="2"/>
          </rPr>
          <t>distance (in meters)</t>
        </r>
        <r>
          <rPr>
            <sz val="9"/>
            <rFont val="Tahoma"/>
            <family val="2"/>
          </rPr>
          <t xml:space="preserve"> from your eye to where you will hold the target and the </t>
        </r>
        <r>
          <rPr>
            <b/>
            <sz val="9"/>
            <rFont val="Tahoma"/>
            <family val="2"/>
          </rPr>
          <t>BAF</t>
        </r>
        <r>
          <rPr>
            <sz val="9"/>
            <rFont val="Tahoma"/>
            <family val="2"/>
          </rPr>
          <t xml:space="preserve"> desired - this calculates the width of target to use (in cm).</t>
        </r>
      </text>
    </comment>
    <comment ref="C51" authorId="0">
      <text>
        <r>
          <rPr>
            <sz val="10"/>
            <rFont val="Tahoma"/>
            <family val="2"/>
          </rPr>
          <t xml:space="preserve">Enter the </t>
        </r>
        <r>
          <rPr>
            <sz val="10"/>
            <color indexed="10"/>
            <rFont val="Tahoma"/>
            <family val="2"/>
          </rPr>
          <t>distance to the target.</t>
        </r>
        <r>
          <rPr>
            <sz val="10"/>
            <rFont val="Tahoma"/>
            <family val="2"/>
          </rPr>
          <t xml:space="preserve"> 
(in meters)</t>
        </r>
      </text>
    </comment>
    <comment ref="F51" authorId="0">
      <text>
        <r>
          <rPr>
            <sz val="10"/>
            <rFont val="Tahoma"/>
            <family val="2"/>
          </rPr>
          <t xml:space="preserve">  This is the </t>
        </r>
        <r>
          <rPr>
            <sz val="10"/>
            <color indexed="10"/>
            <rFont val="Tahoma"/>
            <family val="2"/>
          </rPr>
          <t xml:space="preserve">Calculated </t>
        </r>
        <r>
          <rPr>
            <u val="single"/>
            <sz val="10"/>
            <color indexed="10"/>
            <rFont val="Tahoma"/>
            <family val="2"/>
          </rPr>
          <t>METRIC</t>
        </r>
        <r>
          <rPr>
            <sz val="10"/>
            <color indexed="10"/>
            <rFont val="Tahoma"/>
            <family val="2"/>
          </rPr>
          <t xml:space="preserve"> BAF</t>
        </r>
        <r>
          <rPr>
            <sz val="10"/>
            <rFont val="Tahoma"/>
            <family val="2"/>
          </rPr>
          <t xml:space="preserve"> of that target at that distance, in </t>
        </r>
        <r>
          <rPr>
            <sz val="10"/>
            <color indexed="10"/>
            <rFont val="Tahoma"/>
            <family val="2"/>
          </rPr>
          <t>square meters per hectare.</t>
        </r>
        <r>
          <rPr>
            <sz val="10"/>
            <rFont val="Tahoma"/>
            <family val="2"/>
          </rPr>
          <t xml:space="preserve">
  </t>
        </r>
        <r>
          <rPr>
            <sz val="10"/>
            <color indexed="14"/>
            <rFont val="Tahoma"/>
            <family val="2"/>
          </rPr>
          <t xml:space="preserve">The actual BAF should be defined by the Plot Radius Factor (PRF) that is used to check borderline trees (see part at bottom that calculates this). </t>
        </r>
        <r>
          <rPr>
            <sz val="10"/>
            <rFont val="Tahoma"/>
            <family val="2"/>
          </rPr>
          <t xml:space="preserve"> </t>
        </r>
        <r>
          <rPr>
            <i/>
            <sz val="10"/>
            <rFont val="Tahoma"/>
            <family val="2"/>
          </rPr>
          <t>If you do not check borderline trees,</t>
        </r>
        <r>
          <rPr>
            <sz val="10"/>
            <rFont val="Tahoma"/>
            <family val="2"/>
          </rPr>
          <t xml:space="preserve"> the BAF is this calibrated one, and it depends on the person using the angle guage, as well as the instrument.</t>
        </r>
      </text>
    </comment>
    <comment ref="C52" authorId="0">
      <text>
        <r>
          <rPr>
            <sz val="10"/>
            <rFont val="Tahoma"/>
            <family val="2"/>
          </rPr>
          <t xml:space="preserve">  Enter a </t>
        </r>
        <r>
          <rPr>
            <sz val="10"/>
            <color indexed="10"/>
            <rFont val="Tahoma"/>
            <family val="2"/>
          </rPr>
          <t>1</t>
        </r>
        <r>
          <rPr>
            <sz val="10"/>
            <rFont val="Tahoma"/>
            <family val="2"/>
          </rPr>
          <t xml:space="preserve"> if you are using a </t>
        </r>
        <r>
          <rPr>
            <sz val="10"/>
            <color indexed="10"/>
            <rFont val="Tahoma"/>
            <family val="2"/>
          </rPr>
          <t>flat</t>
        </r>
        <r>
          <rPr>
            <sz val="10"/>
            <rFont val="Tahoma"/>
            <family val="2"/>
          </rPr>
          <t xml:space="preserve"> target (like a sheet of paper), and a </t>
        </r>
        <r>
          <rPr>
            <sz val="10"/>
            <color indexed="10"/>
            <rFont val="Tahoma"/>
            <family val="2"/>
          </rPr>
          <t>0</t>
        </r>
        <r>
          <rPr>
            <sz val="10"/>
            <rFont val="Tahoma"/>
            <family val="2"/>
          </rPr>
          <t xml:space="preserve"> if you are using a </t>
        </r>
        <r>
          <rPr>
            <sz val="10"/>
            <color indexed="10"/>
            <rFont val="Tahoma"/>
            <family val="2"/>
          </rPr>
          <t>cylinder</t>
        </r>
        <r>
          <rPr>
            <sz val="10"/>
            <rFont val="Tahoma"/>
            <family val="2"/>
          </rPr>
          <t xml:space="preserve"> as the target.
  This is a small correction, but you might as well use it.</t>
        </r>
      </text>
    </comment>
    <comment ref="K52" authorId="1">
      <text>
        <r>
          <rPr>
            <sz val="10"/>
            <rFont val="Tahoma"/>
            <family val="2"/>
          </rPr>
          <t xml:space="preserve">  </t>
        </r>
        <r>
          <rPr>
            <sz val="9"/>
            <color indexed="12"/>
            <rFont val="Tahoma"/>
            <family val="2"/>
          </rPr>
          <t>The gold cells below are here in case you want to make any temporary calculations.</t>
        </r>
      </text>
    </comment>
    <comment ref="H53" authorId="0">
      <text>
        <r>
          <rPr>
            <i/>
            <sz val="10"/>
            <rFont val="Tahoma"/>
            <family val="2"/>
          </rPr>
          <t xml:space="preserve">This is the </t>
        </r>
        <r>
          <rPr>
            <i/>
            <u val="single"/>
            <sz val="10"/>
            <rFont val="Tahoma"/>
            <family val="2"/>
          </rPr>
          <t>metric</t>
        </r>
        <r>
          <rPr>
            <i/>
            <sz val="10"/>
            <color indexed="10"/>
            <rFont val="Tahoma"/>
            <family val="2"/>
          </rPr>
          <t xml:space="preserve"> Plot Radius Factor</t>
        </r>
        <r>
          <rPr>
            <i/>
            <sz val="10"/>
            <rFont val="Tahoma"/>
            <family val="2"/>
          </rPr>
          <t xml:space="preserve"> for a  BAF in cell F51, from the </t>
        </r>
        <r>
          <rPr>
            <b/>
            <i/>
            <sz val="10"/>
            <rFont val="Tahoma"/>
            <family val="2"/>
          </rPr>
          <t>CENTER</t>
        </r>
        <r>
          <rPr>
            <i/>
            <sz val="10"/>
            <rFont val="Tahoma"/>
            <family val="2"/>
          </rPr>
          <t xml:space="preserve"> of the tree in </t>
        </r>
        <r>
          <rPr>
            <i/>
            <sz val="10"/>
            <color indexed="10"/>
            <rFont val="Tahoma"/>
            <family val="2"/>
          </rPr>
          <t>metres per centimeter</t>
        </r>
        <r>
          <rPr>
            <i/>
            <sz val="10"/>
            <rFont val="Tahoma"/>
            <family val="2"/>
          </rPr>
          <t xml:space="preserve"> of DBH.</t>
        </r>
      </text>
    </comment>
    <comment ref="B55" authorId="0">
      <text>
        <r>
          <rPr>
            <sz val="10"/>
            <rFont val="Tahoma"/>
            <family val="2"/>
          </rPr>
          <t xml:space="preserve">  If you want to compute the BAF from a particular Plot Radius Factor, this section will do that.   </t>
        </r>
        <r>
          <rPr>
            <sz val="10"/>
            <color indexed="10"/>
            <rFont val="Tahoma"/>
            <family val="2"/>
          </rPr>
          <t>Enter the Plot Radius Factor here.</t>
        </r>
        <r>
          <rPr>
            <sz val="10"/>
            <rFont val="Tahoma"/>
            <family val="2"/>
          </rPr>
          <t xml:space="preserve">
</t>
        </r>
        <r>
          <rPr>
            <sz val="10"/>
            <color indexed="10"/>
            <rFont val="Tahoma"/>
            <family val="2"/>
          </rPr>
          <t>The way you check borderline trees determines the exact BAF that should be used in compilations.</t>
        </r>
        <r>
          <rPr>
            <sz val="10"/>
            <rFont val="Tahoma"/>
            <family val="2"/>
          </rPr>
          <t xml:space="preserve">   If you check them with the Plot Radius Factor, using a particular number of digits, this is how you should compute the BAF for compiling the data.
  If you determine borderline trees by eye, then you should calibrate the prism for yourself, since everyone views "borderline" a bit differently.  
</t>
        </r>
      </text>
    </comment>
    <comment ref="H55" authorId="0">
      <text>
        <r>
          <rPr>
            <i/>
            <sz val="10"/>
            <color indexed="10"/>
            <rFont val="Tahoma"/>
            <family val="2"/>
          </rPr>
          <t xml:space="preserve">  Enter the </t>
        </r>
        <r>
          <rPr>
            <i/>
            <u val="single"/>
            <sz val="10"/>
            <color indexed="10"/>
            <rFont val="Tahoma"/>
            <family val="2"/>
          </rPr>
          <t>metric</t>
        </r>
        <r>
          <rPr>
            <i/>
            <sz val="10"/>
            <color indexed="10"/>
            <rFont val="Tahoma"/>
            <family val="2"/>
          </rPr>
          <t xml:space="preserve"> DBH</t>
        </r>
        <r>
          <rPr>
            <i/>
            <sz val="10"/>
            <rFont val="Tahoma"/>
            <family val="2"/>
          </rPr>
          <t xml:space="preserve"> here, and it will compute the "critical distance" to where the tree is "borderline".
  This is initialy set to the metric equivalent of the diameter in inches, and if you normally use metric measurements you might wish to reverse that.</t>
        </r>
      </text>
    </comment>
    <comment ref="D56" authorId="0">
      <text>
        <r>
          <rPr>
            <sz val="10"/>
            <rFont val="Tahoma"/>
            <family val="2"/>
          </rPr>
          <t xml:space="preserve">  This is the </t>
        </r>
        <r>
          <rPr>
            <u val="single"/>
            <sz val="10"/>
            <rFont val="Tahoma"/>
            <family val="2"/>
          </rPr>
          <t>Metric</t>
        </r>
        <r>
          <rPr>
            <sz val="10"/>
            <rFont val="Tahoma"/>
            <family val="2"/>
          </rPr>
          <t xml:space="preserve"> </t>
        </r>
        <r>
          <rPr>
            <sz val="10"/>
            <color indexed="10"/>
            <rFont val="Tahoma"/>
            <family val="2"/>
          </rPr>
          <t>BAF</t>
        </r>
        <r>
          <rPr>
            <sz val="10"/>
            <rFont val="Tahoma"/>
            <family val="2"/>
          </rPr>
          <t xml:space="preserve"> for a Plot Radius Factor (cell C55) measured to the </t>
        </r>
        <r>
          <rPr>
            <sz val="10"/>
            <color indexed="10"/>
            <rFont val="Tahoma"/>
            <family val="2"/>
          </rPr>
          <t>center</t>
        </r>
        <r>
          <rPr>
            <sz val="10"/>
            <rFont val="Tahoma"/>
            <family val="2"/>
          </rPr>
          <t xml:space="preserve"> of a tree in </t>
        </r>
        <r>
          <rPr>
            <sz val="10"/>
            <color indexed="10"/>
            <rFont val="Tahoma"/>
            <family val="2"/>
          </rPr>
          <t>Square metres / hectare.</t>
        </r>
      </text>
    </comment>
    <comment ref="E56" authorId="0">
      <text>
        <r>
          <rPr>
            <sz val="10"/>
            <rFont val="Tahoma"/>
            <family val="2"/>
          </rPr>
          <t xml:space="preserve">  This is the </t>
        </r>
        <r>
          <rPr>
            <u val="single"/>
            <sz val="10"/>
            <rFont val="Tahoma"/>
            <family val="2"/>
          </rPr>
          <t>metric</t>
        </r>
        <r>
          <rPr>
            <sz val="10"/>
            <rFont val="Tahoma"/>
            <family val="2"/>
          </rPr>
          <t xml:space="preserve"> </t>
        </r>
        <r>
          <rPr>
            <sz val="10"/>
            <color indexed="10"/>
            <rFont val="Tahoma"/>
            <family val="2"/>
          </rPr>
          <t>BAF</t>
        </r>
        <r>
          <rPr>
            <sz val="10"/>
            <rFont val="Tahoma"/>
            <family val="2"/>
          </rPr>
          <t xml:space="preserve"> for a Plot Radius Factor (cell C55) measured to the </t>
        </r>
        <r>
          <rPr>
            <sz val="10"/>
            <color indexed="10"/>
            <rFont val="Tahoma"/>
            <family val="2"/>
          </rPr>
          <t>FACE</t>
        </r>
        <r>
          <rPr>
            <sz val="10"/>
            <rFont val="Tahoma"/>
            <family val="2"/>
          </rPr>
          <t xml:space="preserve"> of a tree in </t>
        </r>
        <r>
          <rPr>
            <sz val="10"/>
            <color indexed="10"/>
            <rFont val="Tahoma"/>
            <family val="2"/>
          </rPr>
          <t>Square metres per hectare.</t>
        </r>
      </text>
    </comment>
    <comment ref="G56" authorId="0">
      <text>
        <r>
          <rPr>
            <sz val="10"/>
            <rFont val="Tahoma"/>
            <family val="2"/>
          </rPr>
          <t xml:space="preserve">  With the diameter (cell H55), and the BAF in this section (cell F51, this is the </t>
        </r>
        <r>
          <rPr>
            <sz val="10"/>
            <color indexed="10"/>
            <rFont val="Tahoma"/>
            <family val="2"/>
          </rPr>
          <t>distance at which this tree is "borderline".</t>
        </r>
        <r>
          <rPr>
            <sz val="10"/>
            <rFont val="Tahoma"/>
            <family val="2"/>
          </rPr>
          <t xml:space="preserve">  Distance is from </t>
        </r>
        <r>
          <rPr>
            <sz val="10"/>
            <color indexed="10"/>
            <rFont val="Tahoma"/>
            <family val="2"/>
          </rPr>
          <t>CENTER</t>
        </r>
        <r>
          <rPr>
            <sz val="10"/>
            <rFont val="Tahoma"/>
            <family val="2"/>
          </rPr>
          <t xml:space="preserve"> of tree to the edge of plot, in </t>
        </r>
        <r>
          <rPr>
            <sz val="10"/>
            <color indexed="10"/>
            <rFont val="Tahoma"/>
            <family val="2"/>
          </rPr>
          <t>meters.</t>
        </r>
        <r>
          <rPr>
            <sz val="10"/>
            <rFont val="Tahoma"/>
            <family val="2"/>
          </rPr>
          <t xml:space="preserve">
  ------------------------------
  You can also calculate exact Plot Radius Factors from  BAFs you enter in one of the sections below this one.</t>
        </r>
      </text>
    </comment>
    <comment ref="G57" authorId="0">
      <text>
        <r>
          <rPr>
            <sz val="10"/>
            <rFont val="Tahoma"/>
            <family val="2"/>
          </rPr>
          <t xml:space="preserve">  With the diameter (cell H55), and the BAF in this section (cell F51, this is the </t>
        </r>
        <r>
          <rPr>
            <sz val="10"/>
            <color indexed="10"/>
            <rFont val="Tahoma"/>
            <family val="2"/>
          </rPr>
          <t>distance at which this tree is "borderline".</t>
        </r>
        <r>
          <rPr>
            <sz val="10"/>
            <rFont val="Tahoma"/>
            <family val="2"/>
          </rPr>
          <t xml:space="preserve">  Distance is from </t>
        </r>
        <r>
          <rPr>
            <sz val="10"/>
            <color indexed="10"/>
            <rFont val="Tahoma"/>
            <family val="2"/>
          </rPr>
          <t>FACE</t>
        </r>
        <r>
          <rPr>
            <sz val="10"/>
            <rFont val="Tahoma"/>
            <family val="2"/>
          </rPr>
          <t xml:space="preserve"> of tree to the edge of plot, in </t>
        </r>
        <r>
          <rPr>
            <sz val="10"/>
            <color indexed="10"/>
            <rFont val="Tahoma"/>
            <family val="2"/>
          </rPr>
          <t>meters.</t>
        </r>
        <r>
          <rPr>
            <sz val="10"/>
            <rFont val="Tahoma"/>
            <family val="2"/>
          </rPr>
          <t xml:space="preserve">
  ------------------------------
  You can also calculate exact Plot Radius Factors from  BAFs you enter in one of the sections below this one.</t>
        </r>
      </text>
    </comment>
    <comment ref="B62" authorId="0">
      <text>
        <r>
          <rPr>
            <sz val="10"/>
            <rFont val="Tahoma"/>
            <family val="2"/>
          </rPr>
          <t xml:space="preserve">  </t>
        </r>
        <r>
          <rPr>
            <sz val="10"/>
            <color indexed="10"/>
            <rFont val="Tahoma"/>
            <family val="2"/>
          </rPr>
          <t>Enter</t>
        </r>
        <r>
          <rPr>
            <sz val="10"/>
            <rFont val="Tahoma"/>
            <family val="2"/>
          </rPr>
          <t xml:space="preserve"> the </t>
        </r>
        <r>
          <rPr>
            <u val="single"/>
            <sz val="10"/>
            <rFont val="Tahoma"/>
            <family val="2"/>
          </rPr>
          <t>English</t>
        </r>
        <r>
          <rPr>
            <sz val="10"/>
            <rFont val="Tahoma"/>
            <family val="2"/>
          </rPr>
          <t xml:space="preserve"> </t>
        </r>
        <r>
          <rPr>
            <sz val="10"/>
            <color indexed="10"/>
            <rFont val="Tahoma"/>
            <family val="2"/>
          </rPr>
          <t>BAF</t>
        </r>
        <r>
          <rPr>
            <sz val="10"/>
            <rFont val="Tahoma"/>
            <family val="2"/>
          </rPr>
          <t xml:space="preserve"> </t>
        </r>
        <r>
          <rPr>
            <sz val="10"/>
            <color indexed="10"/>
            <rFont val="Tahoma"/>
            <family val="2"/>
          </rPr>
          <t xml:space="preserve">in square feet per acre.
</t>
        </r>
      </text>
    </comment>
    <comment ref="E62" authorId="0">
      <text>
        <r>
          <rPr>
            <sz val="10"/>
            <rFont val="Tahoma"/>
            <family val="2"/>
          </rPr>
          <t xml:space="preserve">  Enter any </t>
        </r>
        <r>
          <rPr>
            <sz val="10"/>
            <color indexed="10"/>
            <rFont val="Tahoma"/>
            <family val="2"/>
          </rPr>
          <t>DBH in inches</t>
        </r>
        <r>
          <rPr>
            <sz val="10"/>
            <rFont val="Tahoma"/>
            <family val="2"/>
          </rPr>
          <t xml:space="preserve"> for which you want a critical distance.</t>
        </r>
      </text>
    </comment>
    <comment ref="H63" authorId="0">
      <text>
        <r>
          <rPr>
            <sz val="10"/>
            <rFont val="Tahoma"/>
            <family val="2"/>
          </rPr>
          <t xml:space="preserve">  This is the </t>
        </r>
        <r>
          <rPr>
            <sz val="10"/>
            <color indexed="10"/>
            <rFont val="Tahoma"/>
            <family val="2"/>
          </rPr>
          <t xml:space="preserve">area of the plot </t>
        </r>
        <r>
          <rPr>
            <sz val="10"/>
            <color indexed="18"/>
            <rFont val="Tahoma"/>
            <family val="2"/>
          </rPr>
          <t>around that tree, in</t>
        </r>
        <r>
          <rPr>
            <sz val="10"/>
            <rFont val="Tahoma"/>
            <family val="2"/>
          </rPr>
          <t xml:space="preserve"> </t>
        </r>
        <r>
          <rPr>
            <sz val="10"/>
            <color indexed="10"/>
            <rFont val="Tahoma"/>
            <family val="2"/>
          </rPr>
          <t>acres,</t>
        </r>
        <r>
          <rPr>
            <sz val="10"/>
            <rFont val="Tahoma"/>
            <family val="2"/>
          </rPr>
          <t xml:space="preserve"> using the DBH and BAF entered.</t>
        </r>
      </text>
    </comment>
    <comment ref="K63" authorId="1">
      <text>
        <r>
          <rPr>
            <sz val="10"/>
            <rFont val="Tahoma"/>
            <family val="2"/>
          </rPr>
          <t xml:space="preserve">  </t>
        </r>
        <r>
          <rPr>
            <sz val="9"/>
            <color indexed="12"/>
            <rFont val="Tahoma"/>
            <family val="2"/>
          </rPr>
          <t>The gold cell below is here in case you want to make any temporary calculations.</t>
        </r>
      </text>
    </comment>
    <comment ref="D65" authorId="0">
      <text>
        <r>
          <rPr>
            <sz val="10"/>
            <rFont val="Tahoma"/>
            <family val="2"/>
          </rPr>
          <t xml:space="preserve">This is the "Blow-up" Factor of the ENGLISH BAF in cell </t>
        </r>
        <r>
          <rPr>
            <sz val="10"/>
            <color indexed="10"/>
            <rFont val="Tahoma"/>
            <family val="2"/>
          </rPr>
          <t>C62</t>
        </r>
        <r>
          <rPr>
            <sz val="10"/>
            <rFont val="Tahoma"/>
            <family val="2"/>
          </rPr>
          <t xml:space="preserve">.
This is the number of times larger the </t>
        </r>
        <r>
          <rPr>
            <sz val="10"/>
            <color indexed="10"/>
            <rFont val="Tahoma"/>
            <family val="2"/>
          </rPr>
          <t>area of the plot</t>
        </r>
        <r>
          <rPr>
            <sz val="10"/>
            <rFont val="Tahoma"/>
            <family val="2"/>
          </rPr>
          <t xml:space="preserve"> around the tree is than the basal area of </t>
        </r>
        <r>
          <rPr>
            <sz val="10"/>
            <color indexed="10"/>
            <rFont val="Tahoma"/>
            <family val="2"/>
          </rPr>
          <t>the tree</t>
        </r>
        <r>
          <rPr>
            <sz val="10"/>
            <rFont val="Tahoma"/>
            <family val="2"/>
          </rPr>
          <t xml:space="preserve"> itself.  It is constant for any particular angle used.</t>
        </r>
      </text>
    </comment>
    <comment ref="F65" authorId="0">
      <text>
        <r>
          <rPr>
            <sz val="10"/>
            <rFont val="Tahoma"/>
            <family val="2"/>
          </rPr>
          <t xml:space="preserve">  This is the </t>
        </r>
        <r>
          <rPr>
            <u val="single"/>
            <sz val="10"/>
            <rFont val="Tahoma"/>
            <family val="2"/>
          </rPr>
          <t>English</t>
        </r>
        <r>
          <rPr>
            <sz val="10"/>
            <rFont val="Tahoma"/>
            <family val="2"/>
          </rPr>
          <t xml:space="preserve"> </t>
        </r>
        <r>
          <rPr>
            <sz val="10"/>
            <color indexed="10"/>
            <rFont val="Tahoma"/>
            <family val="2"/>
          </rPr>
          <t>Plot Radius Factor</t>
        </r>
        <r>
          <rPr>
            <sz val="10"/>
            <rFont val="Tahoma"/>
            <family val="2"/>
          </rPr>
          <t xml:space="preserve"> for that BAF, to the </t>
        </r>
        <r>
          <rPr>
            <u val="single"/>
            <sz val="10"/>
            <color indexed="10"/>
            <rFont val="Tahoma"/>
            <family val="2"/>
          </rPr>
          <t>center</t>
        </r>
        <r>
          <rPr>
            <sz val="10"/>
            <rFont val="Tahoma"/>
            <family val="2"/>
          </rPr>
          <t xml:space="preserve"> of the tree, in </t>
        </r>
        <r>
          <rPr>
            <sz val="10"/>
            <color indexed="10"/>
            <rFont val="Tahoma"/>
            <family val="2"/>
          </rPr>
          <t xml:space="preserve">feet per inch of DBH.
</t>
        </r>
        <r>
          <rPr>
            <sz val="10"/>
            <color indexed="18"/>
            <rFont val="Tahoma"/>
            <family val="2"/>
          </rPr>
          <t xml:space="preserve">  Note that the PRF to the </t>
        </r>
        <r>
          <rPr>
            <i/>
            <sz val="10"/>
            <color indexed="18"/>
            <rFont val="Tahoma"/>
            <family val="2"/>
          </rPr>
          <t>face</t>
        </r>
        <r>
          <rPr>
            <sz val="10"/>
            <color indexed="18"/>
            <rFont val="Tahoma"/>
            <family val="2"/>
          </rPr>
          <t xml:space="preserve"> of the tree is also computed in the </t>
        </r>
        <r>
          <rPr>
            <i/>
            <sz val="10"/>
            <color indexed="18"/>
            <rFont val="Tahoma"/>
            <family val="2"/>
          </rPr>
          <t>next section.</t>
        </r>
      </text>
    </comment>
    <comment ref="C66" authorId="1">
      <text>
        <r>
          <rPr>
            <sz val="10"/>
            <rFont val="Tahoma"/>
            <family val="2"/>
          </rPr>
          <t>This is the angle for the selection of the tree, in degrees, for the BAF you have entered.</t>
        </r>
      </text>
    </comment>
    <comment ref="F66" authorId="0">
      <text>
        <r>
          <rPr>
            <sz val="10"/>
            <rFont val="Tahoma"/>
            <family val="2"/>
          </rPr>
          <t xml:space="preserve">  This is the </t>
        </r>
        <r>
          <rPr>
            <sz val="10"/>
            <color indexed="10"/>
            <rFont val="Tahoma"/>
            <family val="2"/>
          </rPr>
          <t>Plot Radius Factor,</t>
        </r>
        <r>
          <rPr>
            <sz val="10"/>
            <rFont val="Tahoma"/>
            <family val="2"/>
          </rPr>
          <t xml:space="preserve"> in </t>
        </r>
        <r>
          <rPr>
            <sz val="10"/>
            <color indexed="10"/>
            <rFont val="Tahoma"/>
            <family val="2"/>
          </rPr>
          <t>Feet per inch</t>
        </r>
        <r>
          <rPr>
            <sz val="10"/>
            <rFont val="Tahoma"/>
            <family val="2"/>
          </rPr>
          <t xml:space="preserve"> of DBH, from the </t>
        </r>
        <r>
          <rPr>
            <u val="single"/>
            <sz val="10"/>
            <color indexed="10"/>
            <rFont val="Tahoma"/>
            <family val="2"/>
          </rPr>
          <t>FACE</t>
        </r>
        <r>
          <rPr>
            <sz val="10"/>
            <rFont val="Tahoma"/>
            <family val="2"/>
          </rPr>
          <t xml:space="preserve"> of the tree to the edge of the plot around that tree.</t>
        </r>
      </text>
    </comment>
    <comment ref="B69" authorId="0">
      <text>
        <r>
          <rPr>
            <sz val="10"/>
            <rFont val="Tahoma"/>
            <family val="2"/>
          </rPr>
          <t xml:space="preserve">  This is the </t>
        </r>
        <r>
          <rPr>
            <sz val="10"/>
            <color indexed="10"/>
            <rFont val="Tahoma"/>
            <family val="2"/>
          </rPr>
          <t>Metric BAF</t>
        </r>
        <r>
          <rPr>
            <sz val="10"/>
            <rFont val="Tahoma"/>
            <family val="2"/>
          </rPr>
          <t xml:space="preserve"> in square metres per hectare.  On the initial spreadsheet, it is computed from the English BAF (english/4.356).  If you consistently use the Metric BAF you might want to do the calculation in the reverse, or just leave it blank.</t>
        </r>
      </text>
    </comment>
    <comment ref="E69" authorId="0">
      <text>
        <r>
          <rPr>
            <sz val="10"/>
            <rFont val="Tahoma"/>
            <family val="2"/>
          </rPr>
          <t xml:space="preserve">  Enter any </t>
        </r>
        <r>
          <rPr>
            <sz val="10"/>
            <color indexed="10"/>
            <rFont val="Tahoma"/>
            <family val="2"/>
          </rPr>
          <t>DBH in centimeters</t>
        </r>
        <r>
          <rPr>
            <sz val="10"/>
            <rFont val="Tahoma"/>
            <family val="2"/>
          </rPr>
          <t xml:space="preserve"> for which you want a critical distance.</t>
        </r>
      </text>
    </comment>
    <comment ref="H69" authorId="0">
      <text>
        <r>
          <rPr>
            <sz val="10"/>
            <rFont val="Tahoma"/>
            <family val="2"/>
          </rPr>
          <t xml:space="preserve">  This is the </t>
        </r>
        <r>
          <rPr>
            <sz val="10"/>
            <color indexed="10"/>
            <rFont val="Tahoma"/>
            <family val="2"/>
          </rPr>
          <t>area of the plot</t>
        </r>
        <r>
          <rPr>
            <sz val="10"/>
            <rFont val="Tahoma"/>
            <family val="2"/>
          </rPr>
          <t xml:space="preserve"> around that tree, in </t>
        </r>
        <r>
          <rPr>
            <sz val="10"/>
            <color indexed="10"/>
            <rFont val="Tahoma"/>
            <family val="2"/>
          </rPr>
          <t>square metres,</t>
        </r>
        <r>
          <rPr>
            <sz val="10"/>
            <rFont val="Tahoma"/>
            <family val="2"/>
          </rPr>
          <t xml:space="preserve"> using the DBH and BAF entered.</t>
        </r>
      </text>
    </comment>
    <comment ref="H70" authorId="0">
      <text>
        <r>
          <rPr>
            <sz val="10"/>
            <rFont val="Tahoma"/>
            <family val="2"/>
          </rPr>
          <t xml:space="preserve">  This is the </t>
        </r>
        <r>
          <rPr>
            <sz val="10"/>
            <color indexed="10"/>
            <rFont val="Tahoma"/>
            <family val="2"/>
          </rPr>
          <t>area of the plot</t>
        </r>
        <r>
          <rPr>
            <sz val="10"/>
            <rFont val="Tahoma"/>
            <family val="2"/>
          </rPr>
          <t xml:space="preserve"> around that tree, </t>
        </r>
        <r>
          <rPr>
            <sz val="10"/>
            <color indexed="10"/>
            <rFont val="Tahoma"/>
            <family val="2"/>
          </rPr>
          <t>in hectares,</t>
        </r>
        <r>
          <rPr>
            <sz val="10"/>
            <rFont val="Tahoma"/>
            <family val="2"/>
          </rPr>
          <t xml:space="preserve"> using the DBH and BAF entered.</t>
        </r>
      </text>
    </comment>
    <comment ref="K70" authorId="1">
      <text>
        <r>
          <rPr>
            <sz val="10"/>
            <rFont val="Tahoma"/>
            <family val="2"/>
          </rPr>
          <t xml:space="preserve">  </t>
        </r>
        <r>
          <rPr>
            <sz val="9"/>
            <color indexed="12"/>
            <rFont val="Tahoma"/>
            <family val="2"/>
          </rPr>
          <t>The gold cell below is here in case you want to make any temporary calculations.</t>
        </r>
      </text>
    </comment>
    <comment ref="D72" authorId="0">
      <text>
        <r>
          <rPr>
            <sz val="10"/>
            <rFont val="Tahoma"/>
            <family val="2"/>
          </rPr>
          <t xml:space="preserve">This is the "Blow-up" Factor of the METRIC BAF in cell </t>
        </r>
        <r>
          <rPr>
            <sz val="10"/>
            <color indexed="10"/>
            <rFont val="Tahoma"/>
            <family val="2"/>
          </rPr>
          <t>C69</t>
        </r>
        <r>
          <rPr>
            <sz val="10"/>
            <rFont val="Tahoma"/>
            <family val="2"/>
          </rPr>
          <t xml:space="preserve">.
This is the number of times larger the </t>
        </r>
        <r>
          <rPr>
            <sz val="10"/>
            <color indexed="10"/>
            <rFont val="Tahoma"/>
            <family val="2"/>
          </rPr>
          <t>area of the plot</t>
        </r>
        <r>
          <rPr>
            <sz val="10"/>
            <rFont val="Tahoma"/>
            <family val="2"/>
          </rPr>
          <t xml:space="preserve"> around the tree is than the basal area of </t>
        </r>
        <r>
          <rPr>
            <sz val="10"/>
            <color indexed="10"/>
            <rFont val="Tahoma"/>
            <family val="2"/>
          </rPr>
          <t>the tree</t>
        </r>
        <r>
          <rPr>
            <sz val="10"/>
            <rFont val="Tahoma"/>
            <family val="2"/>
          </rPr>
          <t xml:space="preserve"> itself.  It is constant for any particular angle used.</t>
        </r>
      </text>
    </comment>
    <comment ref="F72" authorId="0">
      <text>
        <r>
          <rPr>
            <sz val="10"/>
            <rFont val="Tahoma"/>
            <family val="2"/>
          </rPr>
          <t xml:space="preserve">This is the </t>
        </r>
        <r>
          <rPr>
            <u val="single"/>
            <sz val="10"/>
            <rFont val="Tahoma"/>
            <family val="2"/>
          </rPr>
          <t>Metric</t>
        </r>
        <r>
          <rPr>
            <sz val="10"/>
            <rFont val="Tahoma"/>
            <family val="2"/>
          </rPr>
          <t xml:space="preserve"> </t>
        </r>
        <r>
          <rPr>
            <sz val="10"/>
            <color indexed="10"/>
            <rFont val="Tahoma"/>
            <family val="2"/>
          </rPr>
          <t>Plot Radius Factor</t>
        </r>
        <r>
          <rPr>
            <sz val="10"/>
            <rFont val="Tahoma"/>
            <family val="2"/>
          </rPr>
          <t xml:space="preserve"> for that BAF, to the </t>
        </r>
        <r>
          <rPr>
            <u val="single"/>
            <sz val="10"/>
            <color indexed="10"/>
            <rFont val="Tahoma"/>
            <family val="2"/>
          </rPr>
          <t>center</t>
        </r>
        <r>
          <rPr>
            <sz val="10"/>
            <rFont val="Tahoma"/>
            <family val="2"/>
          </rPr>
          <t xml:space="preserve"> of the tree, in </t>
        </r>
        <r>
          <rPr>
            <sz val="10"/>
            <color indexed="10"/>
            <rFont val="Tahoma"/>
            <family val="2"/>
          </rPr>
          <t>metres per centimeter</t>
        </r>
        <r>
          <rPr>
            <sz val="10"/>
            <rFont val="Tahoma"/>
            <family val="2"/>
          </rPr>
          <t xml:space="preserve"> of DBH.
  Note that the PRF to the </t>
        </r>
        <r>
          <rPr>
            <i/>
            <sz val="10"/>
            <rFont val="Tahoma"/>
            <family val="2"/>
          </rPr>
          <t>face</t>
        </r>
        <r>
          <rPr>
            <sz val="10"/>
            <rFont val="Tahoma"/>
            <family val="2"/>
          </rPr>
          <t xml:space="preserve"> of the tree is also computed in the </t>
        </r>
        <r>
          <rPr>
            <i/>
            <sz val="10"/>
            <rFont val="Tahoma"/>
            <family val="2"/>
          </rPr>
          <t>next section.</t>
        </r>
      </text>
    </comment>
    <comment ref="H72" authorId="0">
      <text>
        <r>
          <rPr>
            <sz val="10"/>
            <rFont val="Tahoma"/>
            <family val="2"/>
          </rPr>
          <t xml:space="preserve">  This is the </t>
        </r>
        <r>
          <rPr>
            <sz val="10"/>
            <color indexed="10"/>
            <rFont val="Tahoma"/>
            <family val="2"/>
          </rPr>
          <t>"critical distance"</t>
        </r>
        <r>
          <rPr>
            <sz val="10"/>
            <rFont val="Tahoma"/>
            <family val="2"/>
          </rPr>
          <t xml:space="preserve"> from the </t>
        </r>
        <r>
          <rPr>
            <u val="single"/>
            <sz val="10"/>
            <rFont val="Tahoma"/>
            <family val="2"/>
          </rPr>
          <t>center</t>
        </r>
        <r>
          <rPr>
            <sz val="10"/>
            <rFont val="Tahoma"/>
            <family val="2"/>
          </rPr>
          <t xml:space="preserve"> of the tree to the edge of the plot around that tree, </t>
        </r>
        <r>
          <rPr>
            <sz val="10"/>
            <color indexed="10"/>
            <rFont val="Tahoma"/>
            <family val="2"/>
          </rPr>
          <t>in metres,</t>
        </r>
        <r>
          <rPr>
            <sz val="10"/>
            <rFont val="Tahoma"/>
            <family val="2"/>
          </rPr>
          <t xml:space="preserve"> using the BAF and DBH given.</t>
        </r>
      </text>
    </comment>
    <comment ref="B73" authorId="1">
      <text>
        <r>
          <rPr>
            <sz val="10"/>
            <rFont val="Tahoma"/>
            <family val="2"/>
          </rPr>
          <t>This is the angle for the selection of the tree, in degrees, for the BAF you have entered.</t>
        </r>
      </text>
    </comment>
    <comment ref="F73" authorId="0">
      <text>
        <r>
          <rPr>
            <i/>
            <sz val="10"/>
            <rFont val="Tahoma"/>
            <family val="2"/>
          </rPr>
          <t xml:space="preserve">  This is the </t>
        </r>
        <r>
          <rPr>
            <i/>
            <sz val="10"/>
            <color indexed="10"/>
            <rFont val="Tahoma"/>
            <family val="2"/>
          </rPr>
          <t>Plot Radius Factor,</t>
        </r>
        <r>
          <rPr>
            <i/>
            <sz val="10"/>
            <rFont val="Tahoma"/>
            <family val="2"/>
          </rPr>
          <t xml:space="preserve"> in </t>
        </r>
        <r>
          <rPr>
            <i/>
            <sz val="10"/>
            <color indexed="10"/>
            <rFont val="Tahoma"/>
            <family val="2"/>
          </rPr>
          <t>Meters per cm</t>
        </r>
        <r>
          <rPr>
            <i/>
            <sz val="10"/>
            <rFont val="Tahoma"/>
            <family val="2"/>
          </rPr>
          <t xml:space="preserve"> of DBH, from the </t>
        </r>
        <r>
          <rPr>
            <i/>
            <u val="single"/>
            <sz val="10"/>
            <color indexed="10"/>
            <rFont val="Tahoma"/>
            <family val="2"/>
          </rPr>
          <t>FACE</t>
        </r>
        <r>
          <rPr>
            <i/>
            <sz val="10"/>
            <rFont val="Tahoma"/>
            <family val="2"/>
          </rPr>
          <t xml:space="preserve"> of the tree to the edge of the plot around that tree.</t>
        </r>
      </text>
    </comment>
    <comment ref="B77" authorId="0">
      <text>
        <r>
          <rPr>
            <sz val="10"/>
            <rFont val="Tahoma"/>
            <family val="2"/>
          </rPr>
          <t xml:space="preserve">  In some compilation programs you do not get the CVs needed for proper cruise planning.  If you get the </t>
        </r>
        <r>
          <rPr>
            <sz val="10"/>
            <color indexed="10"/>
            <rFont val="Tahoma"/>
            <family val="2"/>
          </rPr>
          <t>SE% for the basal area</t>
        </r>
        <r>
          <rPr>
            <sz val="10"/>
            <rFont val="Tahoma"/>
            <family val="2"/>
          </rPr>
          <t xml:space="preserve"> </t>
        </r>
        <r>
          <rPr>
            <u val="single"/>
            <sz val="10"/>
            <rFont val="Tahoma"/>
            <family val="2"/>
          </rPr>
          <t>and</t>
        </r>
        <r>
          <rPr>
            <sz val="10"/>
            <rFont val="Tahoma"/>
            <family val="2"/>
          </rPr>
          <t xml:space="preserve"> the </t>
        </r>
        <r>
          <rPr>
            <sz val="10"/>
            <color indexed="10"/>
            <rFont val="Tahoma"/>
            <family val="2"/>
          </rPr>
          <t>total SE%,</t>
        </r>
        <r>
          <rPr>
            <sz val="10"/>
            <color indexed="18"/>
            <rFont val="Tahoma"/>
            <family val="2"/>
          </rPr>
          <t xml:space="preserve"> the CV for the *BAR can be </t>
        </r>
        <r>
          <rPr>
            <u val="single"/>
            <sz val="10"/>
            <color indexed="18"/>
            <rFont val="Tahoma"/>
            <family val="2"/>
          </rPr>
          <t>roughly</t>
        </r>
        <r>
          <rPr>
            <sz val="10"/>
            <color indexed="18"/>
            <rFont val="Tahoma"/>
            <family val="2"/>
          </rPr>
          <t xml:space="preserve"> approximated using this section.</t>
        </r>
      </text>
    </comment>
    <comment ref="B78" authorId="0">
      <text>
        <r>
          <rPr>
            <sz val="10"/>
            <color indexed="10"/>
            <rFont val="Tahoma"/>
            <family val="2"/>
          </rPr>
          <t xml:space="preserve">  Enter the SE%</t>
        </r>
        <r>
          <rPr>
            <sz val="10"/>
            <rFont val="Tahoma"/>
            <family val="2"/>
          </rPr>
          <t xml:space="preserve"> for the Basal Area from the compilation results.</t>
        </r>
      </text>
    </comment>
    <comment ref="D78" authorId="0">
      <text>
        <r>
          <rPr>
            <sz val="10"/>
            <color indexed="10"/>
            <rFont val="Tahoma"/>
            <family val="2"/>
          </rPr>
          <t xml:space="preserve">  </t>
        </r>
        <r>
          <rPr>
            <u val="single"/>
            <sz val="10"/>
            <color indexed="10"/>
            <rFont val="Tahoma"/>
            <family val="2"/>
          </rPr>
          <t>Enter</t>
        </r>
        <r>
          <rPr>
            <sz val="10"/>
            <color indexed="10"/>
            <rFont val="Tahoma"/>
            <family val="2"/>
          </rPr>
          <t xml:space="preserve"> the number of sample points</t>
        </r>
        <r>
          <rPr>
            <sz val="10"/>
            <rFont val="Tahoma"/>
            <family val="2"/>
          </rPr>
          <t xml:space="preserve"> for the cruise.</t>
        </r>
      </text>
    </comment>
    <comment ref="G78" authorId="0">
      <text>
        <r>
          <rPr>
            <sz val="10"/>
            <rFont val="Tahoma"/>
            <family val="2"/>
          </rPr>
          <t xml:space="preserve">This is a  </t>
        </r>
        <r>
          <rPr>
            <u val="single"/>
            <sz val="10"/>
            <rFont val="Tahoma"/>
            <family val="2"/>
          </rPr>
          <t>correct</t>
        </r>
        <r>
          <rPr>
            <sz val="10"/>
            <rFont val="Tahoma"/>
            <family val="2"/>
          </rPr>
          <t xml:space="preserve"> estimate for the </t>
        </r>
        <r>
          <rPr>
            <sz val="10"/>
            <color indexed="10"/>
            <rFont val="Tahoma"/>
            <family val="2"/>
          </rPr>
          <t>CV of the Basal Area.</t>
        </r>
      </text>
    </comment>
    <comment ref="B79" authorId="0">
      <text>
        <r>
          <rPr>
            <sz val="10"/>
            <color indexed="10"/>
            <rFont val="Tahoma"/>
            <family val="2"/>
          </rPr>
          <t xml:space="preserve"> </t>
        </r>
        <r>
          <rPr>
            <u val="single"/>
            <sz val="10"/>
            <color indexed="10"/>
            <rFont val="Tahoma"/>
            <family val="2"/>
          </rPr>
          <t>Implied</t>
        </r>
        <r>
          <rPr>
            <sz val="10"/>
            <color indexed="10"/>
            <rFont val="Tahoma"/>
            <family val="2"/>
          </rPr>
          <t xml:space="preserve"> SE%</t>
        </r>
        <r>
          <rPr>
            <sz val="10"/>
            <rFont val="Tahoma"/>
            <family val="2"/>
          </rPr>
          <t xml:space="preserve"> for the *BAR portion of the compilation results.</t>
        </r>
      </text>
    </comment>
    <comment ref="D79" authorId="0">
      <text>
        <r>
          <rPr>
            <sz val="10"/>
            <rFont val="Tahoma"/>
            <family val="2"/>
          </rPr>
          <t xml:space="preserve">  </t>
        </r>
        <r>
          <rPr>
            <u val="single"/>
            <sz val="10"/>
            <color indexed="10"/>
            <rFont val="Tahoma"/>
            <family val="2"/>
          </rPr>
          <t>Enter</t>
        </r>
        <r>
          <rPr>
            <sz val="10"/>
            <color indexed="10"/>
            <rFont val="Tahoma"/>
            <family val="2"/>
          </rPr>
          <t xml:space="preserve"> the number of trees</t>
        </r>
        <r>
          <rPr>
            <sz val="10"/>
            <rFont val="Tahoma"/>
            <family val="2"/>
          </rPr>
          <t xml:space="preserve"> to compute the CV of the *BAR for individual trees.
  You can also enter the number of </t>
        </r>
        <r>
          <rPr>
            <i/>
            <sz val="10"/>
            <rFont val="Tahoma"/>
            <family val="2"/>
          </rPr>
          <t>sample points</t>
        </r>
        <r>
          <rPr>
            <sz val="10"/>
            <rFont val="Tahoma"/>
            <family val="2"/>
          </rPr>
          <t xml:space="preserve"> to estimate the </t>
        </r>
        <r>
          <rPr>
            <i/>
            <sz val="10"/>
            <rFont val="Tahoma"/>
            <family val="2"/>
          </rPr>
          <t>CV of the average *BAR for clusters.</t>
        </r>
      </text>
    </comment>
    <comment ref="G79" authorId="0">
      <text>
        <r>
          <rPr>
            <sz val="10"/>
            <rFont val="Tahoma"/>
            <family val="2"/>
          </rPr>
          <t xml:space="preserve">  This is only a </t>
        </r>
        <r>
          <rPr>
            <u val="single"/>
            <sz val="10"/>
            <color indexed="10"/>
            <rFont val="Tahoma"/>
            <family val="2"/>
          </rPr>
          <t>rough</t>
        </r>
        <r>
          <rPr>
            <sz val="10"/>
            <color indexed="10"/>
            <rFont val="Tahoma"/>
            <family val="2"/>
          </rPr>
          <t xml:space="preserve"> approximation of the CV for *BAR.</t>
        </r>
        <r>
          <rPr>
            <sz val="10"/>
            <rFont val="Tahoma"/>
            <family val="2"/>
          </rPr>
          <t xml:space="preserve">  
  It is probably better to get this by processing some volumes and values for individual trees from the cruise.  Use any volume table that uses DBH and Ht for this, since the values are relative.</t>
        </r>
      </text>
    </comment>
    <comment ref="B80" authorId="0">
      <text>
        <r>
          <rPr>
            <sz val="10"/>
            <rFont val="Tahoma"/>
            <family val="2"/>
          </rPr>
          <t xml:space="preserve">  </t>
        </r>
        <r>
          <rPr>
            <sz val="10"/>
            <color indexed="10"/>
            <rFont val="Tahoma"/>
            <family val="2"/>
          </rPr>
          <t>Enter the SE% for the Total volume (or total value)</t>
        </r>
        <r>
          <rPr>
            <sz val="10"/>
            <rFont val="Tahoma"/>
            <family val="2"/>
          </rPr>
          <t xml:space="preserve">  from the compilation results.  
  If you enter SE% for </t>
        </r>
        <r>
          <rPr>
            <u val="single"/>
            <sz val="10"/>
            <rFont val="Tahoma"/>
            <family val="2"/>
          </rPr>
          <t>volume,</t>
        </r>
        <r>
          <rPr>
            <sz val="10"/>
            <rFont val="Tahoma"/>
            <family val="2"/>
          </rPr>
          <t xml:space="preserve"> the </t>
        </r>
        <r>
          <rPr>
            <sz val="10"/>
            <color indexed="10"/>
            <rFont val="Tahoma"/>
            <family val="2"/>
          </rPr>
          <t>CV of the VBAR</t>
        </r>
        <r>
          <rPr>
            <sz val="10"/>
            <rFont val="Tahoma"/>
            <family val="2"/>
          </rPr>
          <t xml:space="preserve"> will be estimated (net or gross).
  If you enter SE% for </t>
        </r>
        <r>
          <rPr>
            <u val="single"/>
            <sz val="10"/>
            <rFont val="Tahoma"/>
            <family val="2"/>
          </rPr>
          <t>value,</t>
        </r>
        <r>
          <rPr>
            <sz val="10"/>
            <rFont val="Tahoma"/>
            <family val="2"/>
          </rPr>
          <t xml:space="preserve"> then the </t>
        </r>
        <r>
          <rPr>
            <sz val="10"/>
            <color indexed="10"/>
            <rFont val="Tahoma"/>
            <family val="2"/>
          </rPr>
          <t>CV of the $BAR</t>
        </r>
        <r>
          <rPr>
            <sz val="10"/>
            <rFont val="Tahoma"/>
            <family val="2"/>
          </rPr>
          <t xml:space="preserve"> will be estimated.
    </t>
        </r>
      </text>
    </comment>
    <comment ref="I97" authorId="1">
      <text>
        <r>
          <rPr>
            <sz val="9"/>
            <rFont val="Tahoma"/>
            <family val="2"/>
          </rPr>
          <t xml:space="preserve">  This is the combined BAF for the 2 prisms together.  
   You can use section 5 to compute the arm lengths for a "stick" angle gauge to make large BAFs.</t>
        </r>
      </text>
    </comment>
  </commentList>
</comments>
</file>

<file path=xl/sharedStrings.xml><?xml version="1.0" encoding="utf-8"?>
<sst xmlns="http://schemas.openxmlformats.org/spreadsheetml/2006/main" count="1000" uniqueCount="267">
  <si>
    <t>Variability</t>
  </si>
  <si>
    <t xml:space="preserve">   Measurement Costs</t>
  </si>
  <si>
    <t xml:space="preserve">  Fixed costs:</t>
  </si>
  <si>
    <t xml:space="preserve"> </t>
  </si>
  <si>
    <t xml:space="preserve">= Cost (TC) </t>
  </si>
  <si>
    <t xml:space="preserve">= Cost (*BAR) </t>
  </si>
  <si>
    <t>which is =&gt;</t>
  </si>
  <si>
    <t xml:space="preserve">  Desired SEc% (Total)==&gt;</t>
  </si>
  <si>
    <t>n points</t>
  </si>
  <si>
    <t>SE%(TC)</t>
  </si>
  <si>
    <t>Total $</t>
  </si>
  <si>
    <t xml:space="preserve"> $/point=</t>
  </si>
  <si>
    <t>n (*BAR)</t>
  </si>
  <si>
    <t>SE%(*BAR)</t>
  </si>
  <si>
    <t>Other #Points Options :</t>
  </si>
  <si>
    <t>Other SE%</t>
  </si>
  <si>
    <t>Start @</t>
  </si>
  <si>
    <t>Increment</t>
  </si>
  <si>
    <t>Opt</t>
  </si>
  <si>
    <t xml:space="preserve">Other </t>
  </si>
  <si>
    <t>Full M</t>
  </si>
  <si>
    <t>Options</t>
  </si>
  <si>
    <t>Optimal</t>
  </si>
  <si>
    <t>Other Options</t>
  </si>
  <si>
    <t>Full Measure</t>
  </si>
  <si>
    <t>SE%^2*R</t>
  </si>
  <si>
    <t>Optimum</t>
  </si>
  <si>
    <t>Inter.</t>
  </si>
  <si>
    <t>Cost</t>
  </si>
  <si>
    <t xml:space="preserve">Fixed </t>
  </si>
  <si>
    <t>Int</t>
  </si>
  <si>
    <t>n(TC)</t>
  </si>
  <si>
    <t>n(VBAR)</t>
  </si>
  <si>
    <t>SE%(VBAR)</t>
  </si>
  <si>
    <t>Interval</t>
  </si>
  <si>
    <t>SE%</t>
  </si>
  <si>
    <t>COST</t>
  </si>
  <si>
    <t>n*BAR</t>
  </si>
  <si>
    <t>nTC</t>
  </si>
  <si>
    <t>increment</t>
  </si>
  <si>
    <t>Ratio</t>
  </si>
  <si>
    <t>Calc.</t>
  </si>
  <si>
    <t>TC</t>
  </si>
  <si>
    <t>VBAR</t>
  </si>
  <si>
    <t>Calc</t>
  </si>
  <si>
    <t>"t" table</t>
  </si>
  <si>
    <t xml:space="preserve"> From J. Bell &amp; Assoc newsletter</t>
  </si>
  <si>
    <t>5%</t>
  </si>
  <si>
    <t>10%</t>
  </si>
  <si>
    <t>50%</t>
  </si>
  <si>
    <t>90%</t>
  </si>
  <si>
    <t>95%</t>
  </si>
  <si>
    <t>Notes =&gt;</t>
  </si>
  <si>
    <t>Other notes can go in this area when they apply to the CURRENT run ............................</t>
  </si>
  <si>
    <t xml:space="preserve">  n points</t>
  </si>
  <si>
    <t>Ave TC?=&gt;</t>
  </si>
  <si>
    <t>&lt;midpoint&gt;</t>
  </si>
  <si>
    <t xml:space="preserve">  n(*BAR)</t>
  </si>
  <si>
    <t>Overall</t>
  </si>
  <si>
    <t>SE%(TOTAL)</t>
  </si>
  <si>
    <t>Field</t>
  </si>
  <si>
    <t xml:space="preserve">    SE%'s</t>
  </si>
  <si>
    <t>Ratio:</t>
  </si>
  <si>
    <t>TC points/ *BAR measure</t>
  </si>
  <si>
    <t>Cost Ratio</t>
  </si>
  <si>
    <t>--------</t>
  </si>
  <si>
    <t>Calculation of "Student-t" values</t>
  </si>
  <si>
    <t>Section for copying calculations noted above</t>
  </si>
  <si>
    <t>SE% =</t>
  </si>
  <si>
    <t>Conf.</t>
  </si>
  <si>
    <t>n =</t>
  </si>
  <si>
    <t>sq. ft/ acre</t>
  </si>
  <si>
    <t>sq. meters/ hectare</t>
  </si>
  <si>
    <t>inf</t>
  </si>
  <si>
    <t xml:space="preserve">   Inches</t>
  </si>
  <si>
    <t>feet</t>
  </si>
  <si>
    <t xml:space="preserve">   cm</t>
  </si>
  <si>
    <t>meters</t>
  </si>
  <si>
    <t xml:space="preserve"> DBH of :</t>
  </si>
  <si>
    <t>acres, as a circle</t>
  </si>
  <si>
    <t>square meters</t>
  </si>
  <si>
    <t>Metric</t>
  </si>
  <si>
    <t>(Implied)</t>
  </si>
  <si>
    <t>#  points</t>
  </si>
  <si>
    <t xml:space="preserve"> CV, BA</t>
  </si>
  <si>
    <t>%</t>
  </si>
  <si>
    <t>CV, *BAR</t>
  </si>
  <si>
    <t>Total</t>
  </si>
  <si>
    <t>Vcost (try)</t>
  </si>
  <si>
    <t>Vcost Opt</t>
  </si>
  <si>
    <t>Ratio %</t>
  </si>
  <si>
    <t>T$ ratio</t>
  </si>
  <si>
    <t>Cost =</t>
  </si>
  <si>
    <t>= total</t>
  </si>
  <si>
    <t>* modify by start by :</t>
  </si>
  <si>
    <t>* start  TC=</t>
  </si>
  <si>
    <t>* interval=</t>
  </si>
  <si>
    <t>optimal</t>
  </si>
  <si>
    <t>Test</t>
  </si>
  <si>
    <t>or</t>
  </si>
  <si>
    <t xml:space="preserve">    Total $ Efficiency %</t>
  </si>
  <si>
    <t>number</t>
  </si>
  <si>
    <t># Points</t>
  </si>
  <si>
    <t># (*BAR)</t>
  </si>
  <si>
    <t>Total cost</t>
  </si>
  <si>
    <t xml:space="preserve">           Full Measure Comparison,  ALL trees measured,  SE% of =&gt;</t>
  </si>
  <si>
    <t xml:space="preserve">     Ratio for lowest cost answer ==&gt;</t>
  </si>
  <si>
    <t>"t" (conf) =</t>
  </si>
  <si>
    <t>cost/point=</t>
  </si>
  <si>
    <t>cost / point=</t>
  </si>
  <si>
    <t>(n*TC) =</t>
  </si>
  <si>
    <t>SE% * t =</t>
  </si>
  <si>
    <t xml:space="preserve">  "BIG BAF multiplier" =</t>
  </si>
  <si>
    <t xml:space="preserve">    "Big BAF" Multiplier =</t>
  </si>
  <si>
    <t>inches</t>
  </si>
  <si>
    <t>cm</t>
  </si>
  <si>
    <t>---- Program to compute equivalent plot size with prism (from tree center) -----</t>
  </si>
  <si>
    <t>[ note : BAF(english)/4.3560 = BAF(metric)]</t>
  </si>
  <si>
    <t xml:space="preserve"> borderline at</t>
  </si>
  <si>
    <t>TC per *BAR</t>
  </si>
  <si>
    <t xml:space="preserve">     BAF:</t>
  </si>
  <si>
    <t>Printing</t>
  </si>
  <si>
    <t xml:space="preserve">  Plot Radius Factor : Face vs. Center of tree</t>
  </si>
  <si>
    <t>Comments</t>
  </si>
  <si>
    <t>Macros</t>
  </si>
  <si>
    <t xml:space="preserve">        Standard</t>
  </si>
  <si>
    <t xml:space="preserve">        From part 1</t>
  </si>
  <si>
    <t>(t *  SE%)</t>
  </si>
  <si>
    <t>n = 2</t>
  </si>
  <si>
    <t>n = infinite</t>
  </si>
  <si>
    <t>n = 3</t>
  </si>
  <si>
    <t>Enter PRF</t>
  </si>
  <si>
    <r>
      <t>if PRF</t>
    </r>
    <r>
      <rPr>
        <b/>
        <u val="single"/>
        <sz val="9"/>
        <rFont val="Arial"/>
        <family val="2"/>
      </rPr>
      <t>face</t>
    </r>
  </si>
  <si>
    <r>
      <t>if PRF</t>
    </r>
    <r>
      <rPr>
        <b/>
        <u val="single"/>
        <sz val="9"/>
        <rFont val="Arial"/>
        <family val="2"/>
      </rPr>
      <t>ctr</t>
    </r>
  </si>
  <si>
    <t>distance</t>
  </si>
  <si>
    <t>BAFe</t>
  </si>
  <si>
    <t># *BARs</t>
  </si>
  <si>
    <t>notes and comments</t>
  </si>
  <si>
    <t>Copies</t>
  </si>
  <si>
    <t>Other Options Section : (Try any combination)</t>
  </si>
  <si>
    <t>y = T 4-27</t>
  </si>
  <si>
    <t>y = S 4-27</t>
  </si>
  <si>
    <t>n</t>
  </si>
  <si>
    <t xml:space="preserve">ROUGH Calculation if CV *BAR not available, but you have (SE% overall) </t>
  </si>
  <si>
    <t>comment</t>
  </si>
  <si>
    <t>click on</t>
  </si>
  <si>
    <r>
      <t>BAF</t>
    </r>
    <r>
      <rPr>
        <sz val="9"/>
        <rFont val="Arial"/>
        <family val="2"/>
      </rPr>
      <t>english</t>
    </r>
  </si>
  <si>
    <t>Protection</t>
  </si>
  <si>
    <t>Changes</t>
  </si>
  <si>
    <t>Alternatives</t>
  </si>
  <si>
    <t>SE% Total</t>
  </si>
  <si>
    <t>"CVac" =&gt;      This is a kind of Total CV for the combination of points and *BAR you are using here</t>
  </si>
  <si>
    <t>About *BAR</t>
  </si>
  <si>
    <r>
      <t>Blow-up Factor(</t>
    </r>
    <r>
      <rPr>
        <b/>
        <sz val="10"/>
        <color indexed="10"/>
        <rFont val="Arial"/>
        <family val="2"/>
      </rPr>
      <t>english</t>
    </r>
    <r>
      <rPr>
        <sz val="10"/>
        <rFont val="Arial"/>
        <family val="0"/>
      </rPr>
      <t>)</t>
    </r>
  </si>
  <si>
    <t xml:space="preserve">   enter 1 if target flat =</t>
  </si>
  <si>
    <t>PRFctr =</t>
  </si>
  <si>
    <t>PRFface =</t>
  </si>
  <si>
    <t>BAF metric</t>
  </si>
  <si>
    <r>
      <t xml:space="preserve">  </t>
    </r>
    <r>
      <rPr>
        <b/>
        <sz val="10"/>
        <rFont val="Arial"/>
        <family val="2"/>
      </rPr>
      <t>Width</t>
    </r>
    <r>
      <rPr>
        <sz val="10"/>
        <rFont val="Arial"/>
        <family val="0"/>
      </rPr>
      <t xml:space="preserve"> of target =</t>
    </r>
  </si>
  <si>
    <r>
      <t xml:space="preserve"> </t>
    </r>
    <r>
      <rPr>
        <b/>
        <sz val="10"/>
        <rFont val="Arial"/>
        <family val="2"/>
      </rPr>
      <t>Distance</t>
    </r>
    <r>
      <rPr>
        <sz val="10"/>
        <rFont val="Arial"/>
        <family val="0"/>
      </rPr>
      <t xml:space="preserve"> to target =</t>
    </r>
  </si>
  <si>
    <t>calculations</t>
  </si>
  <si>
    <t>ENGLISH UNITS</t>
  </si>
  <si>
    <t>METRIC UNITS</t>
  </si>
  <si>
    <t>hectares, as a circle</t>
  </si>
  <si>
    <t>BAFm</t>
  </si>
  <si>
    <t>ft. per inch Diameter</t>
  </si>
  <si>
    <t>m per cm Diameter</t>
  </si>
  <si>
    <r>
      <t xml:space="preserve">   </t>
    </r>
    <r>
      <rPr>
        <b/>
        <i/>
        <sz val="10"/>
        <color indexed="8"/>
        <rFont val="Arial"/>
        <family val="2"/>
      </rPr>
      <t>or 0</t>
    </r>
    <r>
      <rPr>
        <i/>
        <sz val="10"/>
        <color indexed="8"/>
        <rFont val="Arial"/>
        <family val="2"/>
      </rPr>
      <t xml:space="preserve"> if target is a </t>
    </r>
    <r>
      <rPr>
        <b/>
        <i/>
        <sz val="10"/>
        <color indexed="8"/>
        <rFont val="Arial"/>
        <family val="2"/>
      </rPr>
      <t>cylinder</t>
    </r>
  </si>
  <si>
    <t>centimeters</t>
  </si>
  <si>
    <r>
      <t xml:space="preserve">  To </t>
    </r>
    <r>
      <rPr>
        <b/>
        <sz val="10"/>
        <rFont val="Arial"/>
        <family val="2"/>
      </rPr>
      <t>calibrate</t>
    </r>
    <r>
      <rPr>
        <sz val="10"/>
        <rFont val="Arial"/>
        <family val="0"/>
      </rPr>
      <t xml:space="preserve"> an angle gauge</t>
    </r>
  </si>
  <si>
    <r>
      <t xml:space="preserve"> feet, from tree </t>
    </r>
    <r>
      <rPr>
        <b/>
        <sz val="10"/>
        <rFont val="Arial"/>
        <family val="2"/>
      </rPr>
      <t>center</t>
    </r>
  </si>
  <si>
    <r>
      <t xml:space="preserve">Plot Radius Factor, </t>
    </r>
    <r>
      <rPr>
        <b/>
        <sz val="10"/>
        <color indexed="10"/>
        <rFont val="Arial"/>
        <family val="2"/>
      </rPr>
      <t>face</t>
    </r>
    <r>
      <rPr>
        <sz val="10"/>
        <rFont val="Arial"/>
        <family val="0"/>
      </rPr>
      <t xml:space="preserve"> :</t>
    </r>
  </si>
  <si>
    <t>target width</t>
  </si>
  <si>
    <r>
      <t xml:space="preserve">  </t>
    </r>
    <r>
      <rPr>
        <b/>
        <sz val="10"/>
        <rFont val="Arial"/>
        <family val="2"/>
      </rPr>
      <t>Width</t>
    </r>
    <r>
      <rPr>
        <sz val="10"/>
        <rFont val="Arial"/>
        <family val="2"/>
      </rPr>
      <t xml:space="preserve"> of target =</t>
    </r>
  </si>
  <si>
    <r>
      <t xml:space="preserve"> </t>
    </r>
    <r>
      <rPr>
        <b/>
        <sz val="10"/>
        <rFont val="Arial"/>
        <family val="2"/>
      </rPr>
      <t>Distance</t>
    </r>
    <r>
      <rPr>
        <sz val="10"/>
        <rFont val="Arial"/>
        <family val="2"/>
      </rPr>
      <t xml:space="preserve"> to target =</t>
    </r>
  </si>
  <si>
    <r>
      <t xml:space="preserve">   or </t>
    </r>
    <r>
      <rPr>
        <b/>
        <sz val="10"/>
        <color indexed="8"/>
        <rFont val="Arial"/>
        <family val="2"/>
      </rPr>
      <t>0</t>
    </r>
    <r>
      <rPr>
        <sz val="10"/>
        <color indexed="8"/>
        <rFont val="Arial"/>
        <family val="2"/>
      </rPr>
      <t xml:space="preserve"> if target is a cylinder</t>
    </r>
  </si>
  <si>
    <r>
      <t xml:space="preserve">Plot Radius Factor, </t>
    </r>
    <r>
      <rPr>
        <b/>
        <sz val="10"/>
        <color indexed="10"/>
        <rFont val="Arial"/>
        <family val="2"/>
      </rPr>
      <t>ctr</t>
    </r>
    <r>
      <rPr>
        <sz val="10"/>
        <rFont val="Arial"/>
        <family val="2"/>
      </rPr>
      <t xml:space="preserve"> :</t>
    </r>
  </si>
  <si>
    <r>
      <t xml:space="preserve">Plot Radius Factor, </t>
    </r>
    <r>
      <rPr>
        <b/>
        <sz val="10"/>
        <color indexed="10"/>
        <rFont val="Arial"/>
        <family val="2"/>
      </rPr>
      <t>face</t>
    </r>
    <r>
      <rPr>
        <sz val="10"/>
        <rFont val="Arial"/>
        <family val="2"/>
      </rPr>
      <t xml:space="preserve"> :</t>
    </r>
  </si>
  <si>
    <r>
      <t xml:space="preserve">meters from tree </t>
    </r>
    <r>
      <rPr>
        <b/>
        <sz val="10"/>
        <rFont val="Arial"/>
        <family val="2"/>
      </rPr>
      <t>center</t>
    </r>
  </si>
  <si>
    <r>
      <t xml:space="preserve"> feet, from tree </t>
    </r>
    <r>
      <rPr>
        <b/>
        <sz val="10"/>
        <rFont val="Arial"/>
        <family val="2"/>
      </rPr>
      <t>face</t>
    </r>
  </si>
  <si>
    <t xml:space="preserve">Programs to compute BAF from distance to a target:   </t>
  </si>
  <si>
    <t xml:space="preserve">Programs to compute BAF from distance to a target: </t>
  </si>
  <si>
    <r>
      <t xml:space="preserve">  </t>
    </r>
    <r>
      <rPr>
        <b/>
        <sz val="10"/>
        <color indexed="8"/>
        <rFont val="Arial"/>
        <family val="2"/>
      </rPr>
      <t>Plot Radius Factor</t>
    </r>
    <r>
      <rPr>
        <sz val="10"/>
        <color indexed="8"/>
        <rFont val="Arial"/>
        <family val="2"/>
      </rPr>
      <t xml:space="preserve"> : Face vs. Center of tree</t>
    </r>
  </si>
  <si>
    <t>PRF,face =</t>
  </si>
  <si>
    <t>PRF,ctr =</t>
  </si>
  <si>
    <t xml:space="preserve">  English</t>
  </si>
  <si>
    <t>=</t>
  </si>
  <si>
    <t>meters from center</t>
  </si>
  <si>
    <t>meters from face</t>
  </si>
  <si>
    <t>SE%(TC)=</t>
  </si>
  <si>
    <t>SE%(*bar)=</t>
  </si>
  <si>
    <t>SE%comb=</t>
  </si>
  <si>
    <t>Enter Diameter =</t>
  </si>
  <si>
    <t>notes 1</t>
  </si>
  <si>
    <t>notes 2</t>
  </si>
  <si>
    <t>Copy For Printing in Black and White</t>
  </si>
  <si>
    <t xml:space="preserve">     Ratio for your CHOICE ==&gt;</t>
  </si>
  <si>
    <t>*BAR =</t>
  </si>
  <si>
    <t>using entered number TC =</t>
  </si>
  <si>
    <t xml:space="preserve"> comment 2</t>
  </si>
  <si>
    <t xml:space="preserve"> comment 3</t>
  </si>
  <si>
    <r>
      <t>Ratio</t>
    </r>
    <r>
      <rPr>
        <sz val="8"/>
        <color indexed="8"/>
        <rFont val="Arial"/>
        <family val="2"/>
      </rPr>
      <t xml:space="preserve"> Efficiency</t>
    </r>
  </si>
  <si>
    <t xml:space="preserve">  Conf. % =</t>
  </si>
  <si>
    <t>feet from center</t>
  </si>
  <si>
    <t>feet from face</t>
  </si>
  <si>
    <t>SE%,BA =</t>
  </si>
  <si>
    <t>SE%,*BAR =</t>
  </si>
  <si>
    <t>SE%,Total =</t>
  </si>
  <si>
    <t>x = R 4-27</t>
  </si>
  <si>
    <t>y = U 4-27</t>
  </si>
  <si>
    <t>y = AC 4 - 27</t>
  </si>
  <si>
    <t>y = W 4-27</t>
  </si>
  <si>
    <t>y = AA 4-27</t>
  </si>
  <si>
    <t>x = J  4, 5, 8-24</t>
  </si>
  <si>
    <t>y = N 4,5,8-24</t>
  </si>
  <si>
    <t>x = U 4,5,8-24</t>
  </si>
  <si>
    <t>y = T 4,5,8-24</t>
  </si>
  <si>
    <t>trees/acre</t>
  </si>
  <si>
    <t>trees/ha =</t>
  </si>
  <si>
    <t>degrees</t>
  </si>
  <si>
    <t>angle =</t>
  </si>
  <si>
    <r>
      <t xml:space="preserve">Plot Radius Factor, </t>
    </r>
    <r>
      <rPr>
        <b/>
        <sz val="10"/>
        <color indexed="10"/>
        <rFont val="Arial"/>
        <family val="2"/>
      </rPr>
      <t>ctr</t>
    </r>
    <r>
      <rPr>
        <sz val="10"/>
        <rFont val="Arial"/>
        <family val="0"/>
      </rPr>
      <t xml:space="preserve"> :</t>
    </r>
  </si>
  <si>
    <t>see note here</t>
  </si>
  <si>
    <t xml:space="preserve">  CV(TC) =</t>
  </si>
  <si>
    <t xml:space="preserve">  CV(*BAR) =</t>
  </si>
  <si>
    <t xml:space="preserve">         CV(*BAR)</t>
  </si>
  <si>
    <t xml:space="preserve">        CV(TC)</t>
  </si>
  <si>
    <t xml:space="preserve"> TC per *BAR</t>
  </si>
  <si>
    <t xml:space="preserve"> *BAR /TC</t>
  </si>
  <si>
    <t>SE% (TC)</t>
  </si>
  <si>
    <t>SE% (*BAR)</t>
  </si>
  <si>
    <t>"Goal Seek"</t>
  </si>
  <si>
    <t>Info</t>
  </si>
  <si>
    <t>Start Here</t>
  </si>
  <si>
    <t>Cell Colors</t>
  </si>
  <si>
    <t>BAF #2</t>
  </si>
  <si>
    <t>Combined BAF =</t>
  </si>
  <si>
    <t>BAF #1</t>
  </si>
  <si>
    <t xml:space="preserve">    this is the resulting BAF</t>
  </si>
  <si>
    <t xml:space="preserve">    If you need to combine prisms,</t>
  </si>
  <si>
    <t>distance (ft)</t>
  </si>
  <si>
    <t>Compared to Optimum, Total cost &amp; efficiency ratio is ==&gt;</t>
  </si>
  <si>
    <t xml:space="preserve">Total TC plots =  </t>
  </si>
  <si>
    <r>
      <t xml:space="preserve">meters from tree </t>
    </r>
    <r>
      <rPr>
        <b/>
        <sz val="10"/>
        <rFont val="Arial"/>
        <family val="2"/>
      </rPr>
      <t>face</t>
    </r>
  </si>
  <si>
    <t>*** Optimum Calculation of TC vs. *BAR plots Using your test number ratio from section 2</t>
  </si>
  <si>
    <t>ENGLISH UNITS , BAF calculations</t>
  </si>
  <si>
    <t>METRIC UNITS , BAF calculations</t>
  </si>
  <si>
    <r>
      <t xml:space="preserve">Blow-up Factor </t>
    </r>
    <r>
      <rPr>
        <b/>
        <sz val="10"/>
        <color indexed="10"/>
        <rFont val="Arial"/>
        <family val="2"/>
      </rPr>
      <t>(metric)</t>
    </r>
  </si>
  <si>
    <r>
      <t>Using BAF</t>
    </r>
    <r>
      <rPr>
        <b/>
        <sz val="10"/>
        <color indexed="10"/>
        <rFont val="Arial"/>
        <family val="2"/>
      </rPr>
      <t>m</t>
    </r>
  </si>
  <si>
    <r>
      <t>Using BAF</t>
    </r>
    <r>
      <rPr>
        <b/>
        <sz val="10"/>
        <color indexed="10"/>
        <rFont val="Arial"/>
        <family val="2"/>
      </rPr>
      <t>e</t>
    </r>
  </si>
  <si>
    <t xml:space="preserve"> x*y etc E</t>
  </si>
  <si>
    <t xml:space="preserve"> x*y etc C</t>
  </si>
  <si>
    <t xml:space="preserve"> x*y etc A</t>
  </si>
  <si>
    <t>notes 3</t>
  </si>
  <si>
    <t xml:space="preserve"> x*y etc B </t>
  </si>
  <si>
    <t xml:space="preserve"> x*y etc D </t>
  </si>
  <si>
    <t xml:space="preserve"> x*y etc G </t>
  </si>
  <si>
    <t xml:space="preserve"> x*y etc F</t>
  </si>
  <si>
    <t>comment 1</t>
  </si>
  <si>
    <t xml:space="preserve">                        Optimum Calculation of TC vs. *BAR plots  : Sept, 2006</t>
  </si>
  <si>
    <t>CV TC</t>
  </si>
  <si>
    <t>CV VBAR</t>
  </si>
  <si>
    <t>SE% desired</t>
  </si>
  <si>
    <t>TCs</t>
  </si>
  <si>
    <t>VBARs</t>
  </si>
  <si>
    <t>SE%tc</t>
  </si>
  <si>
    <t>SE%vbar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</si>
</sst>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
    <numFmt numFmtId="174" formatCode="0.000"/>
    <numFmt numFmtId="175" formatCode="0.00000"/>
    <numFmt numFmtId="176" formatCode="0.000000"/>
    <numFmt numFmtId="177" formatCode="#,##0.0"/>
    <numFmt numFmtId="178" formatCode="_(* #,##0.000_);_(* \(#,##0.000\);_(* &quot;-&quot;??_);_(@_)"/>
    <numFmt numFmtId="179" formatCode="_(* #,##0.0_);_(* \(#,##0.0\);_(* &quot;-&quot;??_);_(@_)"/>
    <numFmt numFmtId="180" formatCode="_(* #,##0_);_(* \(#,##0\);_(* &quot;-&quot;??_);_(@_)"/>
    <numFmt numFmtId="181" formatCode="0.0%"/>
    <numFmt numFmtId="182" formatCode="0.000%"/>
    <numFmt numFmtId="183" formatCode="0.0000000"/>
    <numFmt numFmtId="184" formatCode="#,##0;[Red]#,##0"/>
    <numFmt numFmtId="185" formatCode="#,##0.0_);\(#,##0.0\)"/>
    <numFmt numFmtId="186" formatCode="#,##0.000"/>
    <numFmt numFmtId="187" formatCode="#,##0.0000"/>
    <numFmt numFmtId="188" formatCode="_(* #,##0.000_);_(* \(#,##0.000\);_(* &quot;-&quot;???_);_(@_)"/>
    <numFmt numFmtId="189" formatCode="#,##0.000_);\(#,##0.000\)"/>
    <numFmt numFmtId="190" formatCode="_(* #,##0.0000_);_(* \(#,##0.0000\);_(* &quot;-&quot;??_);_(@_)"/>
  </numFmts>
  <fonts count="111">
    <font>
      <sz val="10"/>
      <name val="Arial"/>
      <family val="0"/>
    </font>
    <font>
      <b/>
      <sz val="10"/>
      <color indexed="24"/>
      <name val="Arial"/>
      <family val="0"/>
    </font>
    <font>
      <b/>
      <sz val="8"/>
      <color indexed="24"/>
      <name val="Arial"/>
      <family val="0"/>
    </font>
    <font>
      <sz val="8"/>
      <color indexed="24"/>
      <name val="Arial"/>
      <family val="0"/>
    </font>
    <font>
      <b/>
      <sz val="10"/>
      <color indexed="9"/>
      <name val="Arial"/>
      <family val="2"/>
    </font>
    <font>
      <sz val="10"/>
      <color indexed="9"/>
      <name val="Arial"/>
      <family val="2"/>
    </font>
    <font>
      <sz val="10"/>
      <color indexed="8"/>
      <name val="Arial"/>
      <family val="2"/>
    </font>
    <font>
      <b/>
      <sz val="10"/>
      <color indexed="8"/>
      <name val="Arial"/>
      <family val="2"/>
    </font>
    <font>
      <b/>
      <i/>
      <sz val="10"/>
      <color indexed="8"/>
      <name val="Arial"/>
      <family val="2"/>
    </font>
    <font>
      <b/>
      <sz val="8"/>
      <color indexed="8"/>
      <name val="Arial"/>
      <family val="2"/>
    </font>
    <font>
      <sz val="8"/>
      <color indexed="8"/>
      <name val="Arial"/>
      <family val="2"/>
    </font>
    <font>
      <i/>
      <sz val="10"/>
      <color indexed="8"/>
      <name val="Arial"/>
      <family val="2"/>
    </font>
    <font>
      <b/>
      <i/>
      <sz val="8"/>
      <color indexed="8"/>
      <name val="Arial"/>
      <family val="2"/>
    </font>
    <font>
      <i/>
      <sz val="9"/>
      <name val="Arial"/>
      <family val="2"/>
    </font>
    <font>
      <b/>
      <sz val="10"/>
      <name val="Arial"/>
      <family val="2"/>
    </font>
    <font>
      <sz val="8"/>
      <name val="Arial"/>
      <family val="2"/>
    </font>
    <font>
      <i/>
      <sz val="8"/>
      <name val="Arial"/>
      <family val="2"/>
    </font>
    <font>
      <sz val="10"/>
      <name val="Tahoma"/>
      <family val="0"/>
    </font>
    <font>
      <b/>
      <sz val="10"/>
      <name val="Tahoma"/>
      <family val="0"/>
    </font>
    <font>
      <u val="single"/>
      <sz val="10"/>
      <name val="Tahoma"/>
      <family val="2"/>
    </font>
    <font>
      <sz val="10"/>
      <color indexed="10"/>
      <name val="Tahoma"/>
      <family val="2"/>
    </font>
    <font>
      <sz val="10"/>
      <color indexed="8"/>
      <name val="Tahoma"/>
      <family val="2"/>
    </font>
    <font>
      <sz val="9"/>
      <name val="Tahoma"/>
      <family val="2"/>
    </font>
    <font>
      <u val="single"/>
      <sz val="10"/>
      <color indexed="10"/>
      <name val="Tahoma"/>
      <family val="2"/>
    </font>
    <font>
      <sz val="10"/>
      <color indexed="18"/>
      <name val="Tahoma"/>
      <family val="2"/>
    </font>
    <font>
      <i/>
      <sz val="10"/>
      <color indexed="18"/>
      <name val="Tahoma"/>
      <family val="2"/>
    </font>
    <font>
      <i/>
      <sz val="10"/>
      <name val="Tahoma"/>
      <family val="2"/>
    </font>
    <font>
      <i/>
      <sz val="10"/>
      <color indexed="10"/>
      <name val="Tahoma"/>
      <family val="2"/>
    </font>
    <font>
      <i/>
      <u val="single"/>
      <sz val="10"/>
      <color indexed="10"/>
      <name val="Tahoma"/>
      <family val="2"/>
    </font>
    <font>
      <sz val="10"/>
      <color indexed="12"/>
      <name val="Tahoma"/>
      <family val="2"/>
    </font>
    <font>
      <u val="single"/>
      <sz val="10"/>
      <color indexed="12"/>
      <name val="Tahoma"/>
      <family val="2"/>
    </font>
    <font>
      <i/>
      <sz val="10"/>
      <color indexed="12"/>
      <name val="Tahoma"/>
      <family val="2"/>
    </font>
    <font>
      <sz val="10"/>
      <color indexed="14"/>
      <name val="Tahoma"/>
      <family val="2"/>
    </font>
    <font>
      <sz val="10"/>
      <color indexed="10"/>
      <name val="Arial"/>
      <family val="2"/>
    </font>
    <font>
      <sz val="9"/>
      <name val="Arial"/>
      <family val="2"/>
    </font>
    <font>
      <b/>
      <u val="single"/>
      <sz val="9"/>
      <name val="Arial"/>
      <family val="2"/>
    </font>
    <font>
      <u val="single"/>
      <sz val="10"/>
      <color indexed="18"/>
      <name val="Tahoma"/>
      <family val="2"/>
    </font>
    <font>
      <u val="double"/>
      <sz val="10"/>
      <color indexed="10"/>
      <name val="Tahoma"/>
      <family val="2"/>
    </font>
    <font>
      <b/>
      <sz val="9"/>
      <name val="Arial"/>
      <family val="2"/>
    </font>
    <font>
      <sz val="10"/>
      <color indexed="10"/>
      <name val="Times New Roman"/>
      <family val="1"/>
    </font>
    <font>
      <sz val="8"/>
      <color indexed="10"/>
      <name val="Arial"/>
      <family val="2"/>
    </font>
    <font>
      <b/>
      <sz val="10"/>
      <color indexed="10"/>
      <name val="Tahoma"/>
      <family val="2"/>
    </font>
    <font>
      <i/>
      <u val="single"/>
      <sz val="10"/>
      <name val="Tahoma"/>
      <family val="2"/>
    </font>
    <font>
      <b/>
      <sz val="10"/>
      <color indexed="10"/>
      <name val="Arial"/>
      <family val="2"/>
    </font>
    <font>
      <b/>
      <sz val="10"/>
      <color indexed="12"/>
      <name val="Tahoma"/>
      <family val="2"/>
    </font>
    <font>
      <sz val="9"/>
      <color indexed="12"/>
      <name val="Tahoma"/>
      <family val="2"/>
    </font>
    <font>
      <b/>
      <sz val="9"/>
      <color indexed="12"/>
      <name val="Tahoma"/>
      <family val="2"/>
    </font>
    <font>
      <b/>
      <sz val="9"/>
      <name val="Tahoma"/>
      <family val="2"/>
    </font>
    <font>
      <b/>
      <i/>
      <sz val="10"/>
      <name val="Tahoma"/>
      <family val="2"/>
    </font>
    <font>
      <sz val="9"/>
      <color indexed="8"/>
      <name val="Arial"/>
      <family val="2"/>
    </font>
    <font>
      <i/>
      <sz val="8"/>
      <color indexed="8"/>
      <name val="Arial"/>
      <family val="2"/>
    </font>
    <font>
      <i/>
      <sz val="9"/>
      <color indexed="8"/>
      <name val="Arial"/>
      <family val="2"/>
    </font>
    <font>
      <b/>
      <i/>
      <sz val="9"/>
      <color indexed="8"/>
      <name val="Arial"/>
      <family val="2"/>
    </font>
    <font>
      <u val="single"/>
      <sz val="8"/>
      <color indexed="8"/>
      <name val="Arial"/>
      <family val="2"/>
    </font>
    <font>
      <i/>
      <sz val="8"/>
      <color indexed="9"/>
      <name val="Arial"/>
      <family val="2"/>
    </font>
    <font>
      <b/>
      <sz val="9"/>
      <color indexed="10"/>
      <name val="Arial"/>
      <family val="2"/>
    </font>
    <font>
      <i/>
      <u val="single"/>
      <sz val="10"/>
      <color indexed="12"/>
      <name val="Tahoma"/>
      <family val="2"/>
    </font>
    <font>
      <u val="double"/>
      <sz val="10"/>
      <color indexed="12"/>
      <name val="Tahoma"/>
      <family val="2"/>
    </font>
    <font>
      <b/>
      <sz val="10"/>
      <color indexed="8"/>
      <name val="Tahoma"/>
      <family val="2"/>
    </font>
    <font>
      <b/>
      <sz val="9"/>
      <color indexed="9"/>
      <name val="Arial"/>
      <family val="2"/>
    </font>
    <font>
      <sz val="8"/>
      <color indexed="9"/>
      <name val="Arial"/>
      <family val="2"/>
    </font>
    <font>
      <sz val="9"/>
      <color indexed="10"/>
      <name val="Arial"/>
      <family val="2"/>
    </font>
    <font>
      <b/>
      <sz val="9"/>
      <color indexed="8"/>
      <name val="Arial"/>
      <family val="2"/>
    </font>
    <font>
      <sz val="10"/>
      <color indexed="55"/>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11"/>
      <color indexed="8"/>
      <name val="Arial"/>
      <family val="0"/>
    </font>
    <font>
      <b/>
      <sz val="12"/>
      <color indexed="8"/>
      <name val="Arial"/>
      <family val="0"/>
    </font>
    <font>
      <sz val="8.5"/>
      <color indexed="8"/>
      <name val="Arial"/>
      <family val="0"/>
    </font>
    <font>
      <sz val="10.25"/>
      <color indexed="8"/>
      <name val="Arial"/>
      <family val="0"/>
    </font>
    <font>
      <b/>
      <sz val="11"/>
      <color indexed="8"/>
      <name val="Arial"/>
      <family val="0"/>
    </font>
    <font>
      <sz val="11.5"/>
      <color indexed="8"/>
      <name val="Arial"/>
      <family val="0"/>
    </font>
    <font>
      <sz val="8.25"/>
      <color indexed="8"/>
      <name val="Arial"/>
      <family val="0"/>
    </font>
    <font>
      <sz val="7.55"/>
      <color indexed="8"/>
      <name val="Arial"/>
      <family val="0"/>
    </font>
    <font>
      <b/>
      <sz val="9.5"/>
      <color indexed="8"/>
      <name val="Arial"/>
      <family val="0"/>
    </font>
    <font>
      <sz val="8.9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23"/>
        <bgColor indexed="64"/>
      </patternFill>
    </fill>
    <fill>
      <patternFill patternType="solid">
        <fgColor indexed="15"/>
        <bgColor indexed="64"/>
      </patternFill>
    </fill>
    <fill>
      <patternFill patternType="solid">
        <fgColor indexed="19"/>
        <bgColor indexed="64"/>
      </patternFill>
    </fill>
    <fill>
      <patternFill patternType="solid">
        <fgColor indexed="11"/>
        <bgColor indexed="64"/>
      </patternFill>
    </fill>
    <fill>
      <patternFill patternType="solid">
        <fgColor indexed="17"/>
        <bgColor indexed="64"/>
      </patternFill>
    </fill>
    <fill>
      <patternFill patternType="solid">
        <fgColor indexed="10"/>
        <bgColor indexed="64"/>
      </patternFill>
    </fill>
    <fill>
      <patternFill patternType="solid">
        <fgColor indexed="50"/>
        <bgColor indexed="64"/>
      </patternFill>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51"/>
        <bgColor indexed="64"/>
      </patternFill>
    </fill>
    <fill>
      <patternFill patternType="solid">
        <fgColor indexed="41"/>
        <bgColor indexed="64"/>
      </patternFill>
    </fill>
    <fill>
      <patternFill patternType="solid">
        <fgColor indexed="12"/>
        <bgColor indexed="64"/>
      </patternFill>
    </fill>
    <fill>
      <patternFill patternType="solid">
        <fgColor indexed="47"/>
        <bgColor indexed="64"/>
      </patternFill>
    </fill>
    <fill>
      <patternFill patternType="solid">
        <fgColor indexed="47"/>
        <bgColor indexed="64"/>
      </patternFill>
    </fill>
    <fill>
      <patternFill patternType="solid">
        <fgColor indexed="10"/>
        <bgColor indexed="64"/>
      </patternFill>
    </fill>
    <fill>
      <patternFill patternType="solid">
        <fgColor indexed="10"/>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n"/>
      <right style="thin"/>
      <top style="thin"/>
      <bottom style="thin"/>
    </border>
    <border>
      <left>
        <color indexed="63"/>
      </left>
      <right>
        <color indexed="63"/>
      </right>
      <top style="thick"/>
      <bottom style="thick"/>
    </border>
    <border>
      <left>
        <color indexed="63"/>
      </left>
      <right style="thick"/>
      <top style="thick"/>
      <bottom style="thick"/>
    </border>
    <border>
      <left>
        <color indexed="63"/>
      </left>
      <right>
        <color indexed="63"/>
      </right>
      <top style="thick"/>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thick"/>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medium"/>
      <top style="medium"/>
      <bottom>
        <color indexed="63"/>
      </bottom>
    </border>
    <border>
      <left style="thin"/>
      <right style="thin"/>
      <top>
        <color indexed="63"/>
      </top>
      <bottom style="thin"/>
    </border>
    <border>
      <left>
        <color indexed="63"/>
      </left>
      <right style="thick"/>
      <top>
        <color indexed="63"/>
      </top>
      <bottom>
        <color indexed="63"/>
      </bottom>
    </border>
    <border>
      <left style="medium"/>
      <right style="medium"/>
      <top style="medium"/>
      <bottom style="medium"/>
    </border>
    <border>
      <left style="thin"/>
      <right style="thin"/>
      <top>
        <color indexed="63"/>
      </top>
      <bottom style="medium"/>
    </border>
    <border>
      <left style="thin"/>
      <right style="medium"/>
      <top style="thin"/>
      <bottom style="medium"/>
    </border>
    <border>
      <left style="thin"/>
      <right>
        <color indexed="63"/>
      </right>
      <top style="thin"/>
      <bottom style="medium"/>
    </border>
    <border>
      <left style="thin"/>
      <right style="medium"/>
      <top style="medium"/>
      <bottom style="medium"/>
    </border>
    <border>
      <left style="medium"/>
      <right style="medium"/>
      <top>
        <color indexed="63"/>
      </top>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thin"/>
      <bottom style="medium"/>
    </border>
    <border>
      <left style="thick">
        <color indexed="9"/>
      </left>
      <right style="thick">
        <color indexed="9"/>
      </right>
      <top style="thick">
        <color indexed="9"/>
      </top>
      <bottom>
        <color indexed="63"/>
      </bottom>
    </border>
    <border>
      <left>
        <color indexed="63"/>
      </left>
      <right style="thin"/>
      <top style="medium"/>
      <bottom style="thin"/>
    </border>
    <border>
      <left>
        <color indexed="63"/>
      </left>
      <right>
        <color indexed="63"/>
      </right>
      <top>
        <color indexed="63"/>
      </top>
      <bottom style="double"/>
    </border>
    <border>
      <left style="medium"/>
      <right style="thick">
        <color indexed="9"/>
      </right>
      <top>
        <color indexed="63"/>
      </top>
      <bottom style="thick">
        <color indexed="9"/>
      </bottom>
    </border>
    <border>
      <left style="thick">
        <color indexed="9"/>
      </left>
      <right style="thick">
        <color indexed="9"/>
      </right>
      <top>
        <color indexed="63"/>
      </top>
      <bottom style="thick">
        <color indexed="9"/>
      </bottom>
    </border>
    <border>
      <left style="thick">
        <color indexed="9"/>
      </left>
      <right style="medium"/>
      <top>
        <color indexed="63"/>
      </top>
      <bottom style="thick">
        <color indexed="9"/>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thick"/>
      <bottom style="thick"/>
    </border>
    <border>
      <left>
        <color indexed="63"/>
      </left>
      <right style="double"/>
      <top style="thick"/>
      <bottom style="thick"/>
    </border>
    <border>
      <left style="medium"/>
      <right style="hair"/>
      <top style="hair"/>
      <bottom style="hair"/>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medium"/>
      <bottom>
        <color indexed="63"/>
      </bottom>
    </border>
    <border>
      <left style="medium"/>
      <right style="medium"/>
      <top style="medium"/>
      <bottom style="thin"/>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n"/>
      <right>
        <color indexed="63"/>
      </right>
      <top>
        <color indexed="63"/>
      </top>
      <bottom>
        <color indexed="63"/>
      </bottom>
    </border>
    <border>
      <left style="medium"/>
      <right style="thin"/>
      <top style="medium"/>
      <bottom style="medium"/>
    </border>
    <border>
      <left>
        <color indexed="63"/>
      </left>
      <right style="thin"/>
      <top>
        <color indexed="63"/>
      </top>
      <bottom>
        <color indexed="63"/>
      </bottom>
    </border>
    <border>
      <left>
        <color indexed="63"/>
      </left>
      <right>
        <color indexed="63"/>
      </right>
      <top>
        <color indexed="63"/>
      </top>
      <bottom style="medium">
        <color indexed="9"/>
      </bottom>
    </border>
    <border>
      <left style="thin"/>
      <right style="medium"/>
      <top style="thin"/>
      <bottom style="thin"/>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736">
    <xf numFmtId="0" fontId="0" fillId="0" borderId="0" xfId="0" applyAlignment="1">
      <alignment/>
    </xf>
    <xf numFmtId="2" fontId="7" fillId="33" borderId="10" xfId="0" applyNumberFormat="1" applyFont="1" applyFill="1" applyBorder="1" applyAlignment="1" applyProtection="1">
      <alignment/>
      <protection/>
    </xf>
    <xf numFmtId="2" fontId="7" fillId="34" borderId="0" xfId="0" applyNumberFormat="1" applyFont="1" applyFill="1" applyAlignment="1" applyProtection="1">
      <alignment/>
      <protection/>
    </xf>
    <xf numFmtId="2" fontId="0" fillId="34" borderId="0" xfId="0" applyNumberFormat="1" applyFill="1" applyAlignment="1" applyProtection="1">
      <alignment/>
      <protection/>
    </xf>
    <xf numFmtId="2" fontId="0" fillId="35" borderId="0" xfId="0" applyNumberFormat="1" applyFill="1" applyAlignment="1" applyProtection="1">
      <alignment/>
      <protection/>
    </xf>
    <xf numFmtId="2" fontId="0" fillId="33" borderId="0" xfId="0" applyNumberFormat="1" applyFill="1" applyAlignment="1" applyProtection="1">
      <alignment horizontal="center"/>
      <protection/>
    </xf>
    <xf numFmtId="2" fontId="0" fillId="36" borderId="0" xfId="0" applyNumberFormat="1" applyFill="1" applyAlignment="1" applyProtection="1">
      <alignment/>
      <protection/>
    </xf>
    <xf numFmtId="2" fontId="0" fillId="37" borderId="0" xfId="0" applyNumberFormat="1" applyFill="1" applyAlignment="1" applyProtection="1">
      <alignment/>
      <protection/>
    </xf>
    <xf numFmtId="2" fontId="0" fillId="38" borderId="0" xfId="0" applyNumberFormat="1" applyFill="1" applyAlignment="1" applyProtection="1">
      <alignment/>
      <protection/>
    </xf>
    <xf numFmtId="2" fontId="4" fillId="39" borderId="0" xfId="0" applyNumberFormat="1" applyFont="1" applyFill="1" applyAlignment="1" applyProtection="1">
      <alignment/>
      <protection/>
    </xf>
    <xf numFmtId="2" fontId="0" fillId="33" borderId="0" xfId="0" applyNumberFormat="1" applyFill="1" applyAlignment="1" applyProtection="1">
      <alignment/>
      <protection/>
    </xf>
    <xf numFmtId="2" fontId="0" fillId="33" borderId="0" xfId="0" applyNumberFormat="1" applyFill="1" applyAlignment="1" applyProtection="1">
      <alignment/>
      <protection/>
    </xf>
    <xf numFmtId="2" fontId="6" fillId="33" borderId="0" xfId="0" applyNumberFormat="1" applyFont="1" applyFill="1" applyAlignment="1" applyProtection="1">
      <alignment/>
      <protection/>
    </xf>
    <xf numFmtId="2" fontId="7" fillId="33" borderId="11" xfId="0" applyNumberFormat="1" applyFont="1" applyFill="1" applyBorder="1" applyAlignment="1" applyProtection="1">
      <alignment/>
      <protection/>
    </xf>
    <xf numFmtId="2" fontId="6" fillId="33" borderId="12" xfId="0" applyNumberFormat="1" applyFont="1" applyFill="1" applyBorder="1" applyAlignment="1" applyProtection="1">
      <alignment/>
      <protection/>
    </xf>
    <xf numFmtId="2" fontId="7" fillId="33" borderId="0" xfId="0" applyNumberFormat="1" applyFont="1" applyFill="1" applyAlignment="1" applyProtection="1">
      <alignment/>
      <protection/>
    </xf>
    <xf numFmtId="2" fontId="2" fillId="33" borderId="0" xfId="0" applyNumberFormat="1" applyFont="1" applyFill="1" applyAlignment="1" applyProtection="1">
      <alignment/>
      <protection/>
    </xf>
    <xf numFmtId="2" fontId="7" fillId="33" borderId="13" xfId="0" applyNumberFormat="1" applyFont="1" applyFill="1" applyBorder="1" applyAlignment="1" applyProtection="1">
      <alignment/>
      <protection/>
    </xf>
    <xf numFmtId="2" fontId="6" fillId="33" borderId="14" xfId="0" applyNumberFormat="1" applyFont="1" applyFill="1" applyBorder="1" applyAlignment="1" applyProtection="1">
      <alignment/>
      <protection/>
    </xf>
    <xf numFmtId="2" fontId="1" fillId="33" borderId="0" xfId="0" applyNumberFormat="1" applyFont="1" applyFill="1" applyAlignment="1" applyProtection="1">
      <alignment/>
      <protection/>
    </xf>
    <xf numFmtId="0" fontId="0" fillId="33" borderId="0" xfId="0" applyFill="1" applyAlignment="1" applyProtection="1">
      <alignment/>
      <protection/>
    </xf>
    <xf numFmtId="1" fontId="0" fillId="35" borderId="0" xfId="0" applyNumberFormat="1" applyFill="1" applyAlignment="1" applyProtection="1">
      <alignment/>
      <protection/>
    </xf>
    <xf numFmtId="2" fontId="0" fillId="35" borderId="0" xfId="0" applyNumberFormat="1" applyFill="1" applyAlignment="1" applyProtection="1">
      <alignment/>
      <protection/>
    </xf>
    <xf numFmtId="172" fontId="0" fillId="35" borderId="0" xfId="0" applyNumberFormat="1" applyFill="1" applyAlignment="1" applyProtection="1">
      <alignment/>
      <protection/>
    </xf>
    <xf numFmtId="2" fontId="0" fillId="38" borderId="0" xfId="0" applyNumberFormat="1" applyFill="1" applyAlignment="1" applyProtection="1">
      <alignment/>
      <protection/>
    </xf>
    <xf numFmtId="2" fontId="7" fillId="38" borderId="0" xfId="0" applyNumberFormat="1" applyFont="1" applyFill="1" applyAlignment="1" applyProtection="1">
      <alignment/>
      <protection locked="0"/>
    </xf>
    <xf numFmtId="2" fontId="0" fillId="40" borderId="0" xfId="0" applyNumberFormat="1" applyFill="1" applyAlignment="1" applyProtection="1">
      <alignment/>
      <protection/>
    </xf>
    <xf numFmtId="10" fontId="4" fillId="39" borderId="0" xfId="0" applyNumberFormat="1" applyFont="1" applyFill="1" applyAlignment="1" applyProtection="1">
      <alignment horizontal="center"/>
      <protection/>
    </xf>
    <xf numFmtId="2" fontId="4" fillId="39" borderId="15" xfId="0" applyNumberFormat="1" applyFont="1" applyFill="1" applyBorder="1" applyAlignment="1" applyProtection="1">
      <alignment horizontal="center"/>
      <protection/>
    </xf>
    <xf numFmtId="2" fontId="6" fillId="41" borderId="0" xfId="0" applyNumberFormat="1" applyFont="1" applyFill="1" applyAlignment="1" applyProtection="1">
      <alignment/>
      <protection/>
    </xf>
    <xf numFmtId="2" fontId="0" fillId="33" borderId="16" xfId="0" applyNumberFormat="1" applyFill="1" applyBorder="1" applyAlignment="1" applyProtection="1">
      <alignment/>
      <protection/>
    </xf>
    <xf numFmtId="2" fontId="0" fillId="33" borderId="17" xfId="0" applyNumberFormat="1" applyFill="1" applyBorder="1" applyAlignment="1" applyProtection="1">
      <alignment/>
      <protection/>
    </xf>
    <xf numFmtId="2" fontId="8" fillId="33" borderId="0" xfId="0" applyNumberFormat="1" applyFont="1" applyFill="1" applyAlignment="1" applyProtection="1">
      <alignment/>
      <protection/>
    </xf>
    <xf numFmtId="2" fontId="12" fillId="33" borderId="0" xfId="0" applyNumberFormat="1" applyFont="1" applyFill="1" applyAlignment="1" applyProtection="1">
      <alignment horizontal="left" indent="1"/>
      <protection/>
    </xf>
    <xf numFmtId="2" fontId="0" fillId="33" borderId="0" xfId="0" applyNumberFormat="1" applyFill="1" applyAlignment="1" applyProtection="1">
      <alignment horizontal="center"/>
      <protection/>
    </xf>
    <xf numFmtId="2" fontId="0" fillId="33" borderId="0" xfId="0" applyNumberFormat="1" applyFill="1" applyAlignment="1" applyProtection="1">
      <alignment horizontal="left"/>
      <protection/>
    </xf>
    <xf numFmtId="2" fontId="10" fillId="33" borderId="0" xfId="0" applyNumberFormat="1" applyFont="1" applyFill="1" applyAlignment="1" applyProtection="1">
      <alignment horizontal="center"/>
      <protection/>
    </xf>
    <xf numFmtId="2" fontId="9" fillId="33" borderId="0" xfId="0" applyNumberFormat="1" applyFont="1" applyFill="1" applyAlignment="1" applyProtection="1">
      <alignment/>
      <protection/>
    </xf>
    <xf numFmtId="2" fontId="0" fillId="42" borderId="0" xfId="0" applyNumberFormat="1" applyFill="1" applyAlignment="1" applyProtection="1">
      <alignment/>
      <protection/>
    </xf>
    <xf numFmtId="2" fontId="0" fillId="41" borderId="0" xfId="0" applyNumberFormat="1" applyFill="1" applyAlignment="1" applyProtection="1">
      <alignment/>
      <protection/>
    </xf>
    <xf numFmtId="0" fontId="0" fillId="40" borderId="0" xfId="0" applyFill="1" applyAlignment="1">
      <alignment/>
    </xf>
    <xf numFmtId="2" fontId="0" fillId="43" borderId="18" xfId="0" applyNumberFormat="1" applyFill="1" applyBorder="1" applyAlignment="1" applyProtection="1">
      <alignment/>
      <protection/>
    </xf>
    <xf numFmtId="2" fontId="7" fillId="44" borderId="0" xfId="0" applyNumberFormat="1" applyFont="1" applyFill="1" applyBorder="1" applyAlignment="1" applyProtection="1">
      <alignment horizontal="center"/>
      <protection/>
    </xf>
    <xf numFmtId="2" fontId="14" fillId="35" borderId="0" xfId="0" applyNumberFormat="1" applyFont="1" applyFill="1" applyAlignment="1" applyProtection="1">
      <alignment horizontal="center"/>
      <protection/>
    </xf>
    <xf numFmtId="172" fontId="0" fillId="35" borderId="19" xfId="0" applyNumberFormat="1" applyFill="1" applyBorder="1" applyAlignment="1" applyProtection="1">
      <alignment/>
      <protection/>
    </xf>
    <xf numFmtId="172" fontId="0" fillId="35" borderId="20" xfId="0" applyNumberFormat="1" applyFill="1" applyBorder="1" applyAlignment="1" applyProtection="1">
      <alignment/>
      <protection/>
    </xf>
    <xf numFmtId="1" fontId="0" fillId="35" borderId="0" xfId="0" applyNumberFormat="1" applyFill="1" applyAlignment="1" applyProtection="1" quotePrefix="1">
      <alignment horizontal="right"/>
      <protection/>
    </xf>
    <xf numFmtId="1" fontId="0" fillId="35" borderId="21" xfId="0" applyNumberFormat="1" applyFill="1" applyBorder="1" applyAlignment="1" applyProtection="1" quotePrefix="1">
      <alignment horizontal="right"/>
      <protection/>
    </xf>
    <xf numFmtId="2" fontId="14" fillId="35" borderId="22" xfId="0" applyNumberFormat="1" applyFont="1" applyFill="1" applyBorder="1" applyAlignment="1" applyProtection="1">
      <alignment horizontal="center"/>
      <protection/>
    </xf>
    <xf numFmtId="9" fontId="0" fillId="45" borderId="23" xfId="0" applyNumberFormat="1" applyFill="1" applyBorder="1" applyAlignment="1" applyProtection="1">
      <alignment horizontal="center"/>
      <protection/>
    </xf>
    <xf numFmtId="2" fontId="0" fillId="43" borderId="0" xfId="0" applyNumberFormat="1" applyFill="1" applyBorder="1" applyAlignment="1" applyProtection="1">
      <alignment/>
      <protection/>
    </xf>
    <xf numFmtId="0" fontId="0" fillId="41" borderId="0" xfId="0" applyFill="1" applyBorder="1" applyAlignment="1">
      <alignment/>
    </xf>
    <xf numFmtId="10" fontId="0" fillId="36" borderId="0" xfId="0" applyNumberFormat="1" applyFill="1" applyAlignment="1" applyProtection="1">
      <alignment/>
      <protection/>
    </xf>
    <xf numFmtId="10" fontId="0" fillId="36" borderId="0" xfId="0" applyNumberFormat="1" applyFill="1" applyAlignment="1" applyProtection="1">
      <alignment/>
      <protection/>
    </xf>
    <xf numFmtId="0" fontId="0" fillId="0" borderId="0" xfId="0" applyAlignment="1" quotePrefix="1">
      <alignment/>
    </xf>
    <xf numFmtId="0" fontId="0" fillId="46" borderId="0" xfId="0" applyFill="1" applyAlignment="1">
      <alignment/>
    </xf>
    <xf numFmtId="0" fontId="0" fillId="46" borderId="0" xfId="0" applyFill="1" applyAlignment="1" quotePrefix="1">
      <alignment/>
    </xf>
    <xf numFmtId="181" fontId="0" fillId="40" borderId="0" xfId="0" applyNumberFormat="1" applyFill="1" applyAlignment="1" applyProtection="1">
      <alignment/>
      <protection/>
    </xf>
    <xf numFmtId="181" fontId="0" fillId="38" borderId="0" xfId="0" applyNumberFormat="1" applyFill="1" applyAlignment="1" applyProtection="1">
      <alignment/>
      <protection/>
    </xf>
    <xf numFmtId="181" fontId="0" fillId="38" borderId="0" xfId="0" applyNumberFormat="1" applyFill="1" applyAlignment="1" applyProtection="1">
      <alignment/>
      <protection/>
    </xf>
    <xf numFmtId="0" fontId="0" fillId="35" borderId="0" xfId="0" applyFill="1" applyAlignment="1">
      <alignment/>
    </xf>
    <xf numFmtId="2" fontId="0" fillId="43" borderId="0" xfId="0" applyNumberFormat="1" applyFill="1" applyBorder="1" applyAlignment="1" applyProtection="1">
      <alignment horizontal="right"/>
      <protection/>
    </xf>
    <xf numFmtId="2" fontId="14" fillId="43" borderId="0" xfId="0" applyNumberFormat="1" applyFont="1" applyFill="1" applyBorder="1" applyAlignment="1" applyProtection="1">
      <alignment/>
      <protection/>
    </xf>
    <xf numFmtId="2" fontId="15" fillId="43" borderId="0" xfId="0" applyNumberFormat="1" applyFont="1" applyFill="1" applyBorder="1" applyAlignment="1" applyProtection="1" quotePrefix="1">
      <alignment/>
      <protection/>
    </xf>
    <xf numFmtId="2" fontId="7" fillId="46" borderId="0" xfId="0" applyNumberFormat="1" applyFont="1" applyFill="1" applyBorder="1" applyAlignment="1" applyProtection="1">
      <alignment horizontal="center"/>
      <protection locked="0"/>
    </xf>
    <xf numFmtId="0" fontId="0" fillId="0" borderId="0" xfId="0" applyBorder="1" applyAlignment="1">
      <alignment/>
    </xf>
    <xf numFmtId="2" fontId="0" fillId="35" borderId="24" xfId="0" applyNumberFormat="1" applyFill="1" applyBorder="1" applyAlignment="1" applyProtection="1">
      <alignment/>
      <protection/>
    </xf>
    <xf numFmtId="2" fontId="0" fillId="35" borderId="25" xfId="0" applyNumberFormat="1" applyFill="1" applyBorder="1" applyAlignment="1" applyProtection="1">
      <alignment/>
      <protection/>
    </xf>
    <xf numFmtId="2" fontId="0" fillId="35" borderId="0" xfId="0" applyNumberFormat="1" applyFill="1" applyBorder="1" applyAlignment="1" applyProtection="1">
      <alignment/>
      <protection/>
    </xf>
    <xf numFmtId="2" fontId="0" fillId="35" borderId="26" xfId="0" applyNumberFormat="1" applyFill="1" applyBorder="1" applyAlignment="1" applyProtection="1">
      <alignment/>
      <protection/>
    </xf>
    <xf numFmtId="2" fontId="0" fillId="35" borderId="27" xfId="0" applyNumberFormat="1" applyFill="1" applyBorder="1" applyAlignment="1" applyProtection="1">
      <alignment/>
      <protection/>
    </xf>
    <xf numFmtId="2" fontId="0" fillId="35" borderId="0" xfId="0" applyNumberFormat="1" applyFill="1" applyBorder="1" applyAlignment="1" applyProtection="1">
      <alignment horizontal="right"/>
      <protection/>
    </xf>
    <xf numFmtId="2" fontId="0" fillId="35" borderId="28" xfId="0" applyNumberFormat="1" applyFill="1" applyBorder="1" applyAlignment="1" applyProtection="1">
      <alignment/>
      <protection/>
    </xf>
    <xf numFmtId="2" fontId="0" fillId="35" borderId="29" xfId="0" applyNumberFormat="1" applyFill="1" applyBorder="1" applyAlignment="1" applyProtection="1">
      <alignment/>
      <protection/>
    </xf>
    <xf numFmtId="1" fontId="0" fillId="46" borderId="0" xfId="0" applyNumberFormat="1" applyFont="1" applyFill="1" applyBorder="1" applyAlignment="1" applyProtection="1">
      <alignment horizontal="center"/>
      <protection locked="0"/>
    </xf>
    <xf numFmtId="2" fontId="0" fillId="43" borderId="30" xfId="0" applyNumberFormat="1" applyFill="1" applyBorder="1" applyAlignment="1" applyProtection="1">
      <alignment/>
      <protection/>
    </xf>
    <xf numFmtId="2" fontId="0" fillId="43" borderId="27" xfId="0" applyNumberFormat="1" applyFill="1" applyBorder="1" applyAlignment="1" applyProtection="1">
      <alignment/>
      <protection/>
    </xf>
    <xf numFmtId="2" fontId="0" fillId="43" borderId="28" xfId="0" applyNumberFormat="1" applyFill="1" applyBorder="1" applyAlignment="1" applyProtection="1">
      <alignment/>
      <protection/>
    </xf>
    <xf numFmtId="173" fontId="0" fillId="46" borderId="24" xfId="0" applyNumberFormat="1" applyFill="1" applyBorder="1" applyAlignment="1" applyProtection="1">
      <alignment horizontal="center"/>
      <protection locked="0"/>
    </xf>
    <xf numFmtId="2" fontId="0" fillId="43" borderId="27" xfId="0" applyNumberFormat="1" applyFill="1" applyBorder="1" applyAlignment="1" applyProtection="1">
      <alignment horizontal="right"/>
      <protection/>
    </xf>
    <xf numFmtId="2" fontId="0" fillId="43" borderId="28" xfId="0" applyNumberFormat="1" applyFill="1" applyBorder="1" applyAlignment="1" applyProtection="1">
      <alignment horizontal="right"/>
      <protection/>
    </xf>
    <xf numFmtId="2" fontId="0" fillId="44" borderId="31" xfId="0" applyNumberFormat="1" applyFill="1" applyBorder="1" applyAlignment="1" applyProtection="1">
      <alignment horizontal="center"/>
      <protection/>
    </xf>
    <xf numFmtId="3" fontId="0" fillId="44" borderId="32" xfId="0" applyNumberFormat="1" applyFill="1" applyBorder="1" applyAlignment="1" applyProtection="1">
      <alignment horizontal="center"/>
      <protection/>
    </xf>
    <xf numFmtId="2" fontId="0" fillId="44" borderId="32" xfId="0" applyNumberFormat="1" applyFill="1" applyBorder="1" applyAlignment="1" applyProtection="1">
      <alignment horizontal="center"/>
      <protection/>
    </xf>
    <xf numFmtId="2" fontId="0" fillId="41" borderId="0" xfId="0" applyNumberFormat="1" applyFill="1" applyBorder="1" applyAlignment="1" applyProtection="1">
      <alignment/>
      <protection/>
    </xf>
    <xf numFmtId="2" fontId="0" fillId="41" borderId="0" xfId="0" applyNumberFormat="1" applyFill="1" applyBorder="1" applyAlignment="1" applyProtection="1">
      <alignment horizontal="left"/>
      <protection/>
    </xf>
    <xf numFmtId="0" fontId="14" fillId="47" borderId="24" xfId="0" applyFont="1" applyFill="1" applyBorder="1" applyAlignment="1">
      <alignment horizontal="center"/>
    </xf>
    <xf numFmtId="2" fontId="0" fillId="47" borderId="0" xfId="0" applyNumberFormat="1" applyFill="1" applyBorder="1" applyAlignment="1" applyProtection="1">
      <alignment/>
      <protection/>
    </xf>
    <xf numFmtId="2" fontId="0" fillId="47" borderId="24" xfId="0" applyNumberFormat="1" applyFill="1" applyBorder="1" applyAlignment="1" applyProtection="1">
      <alignment/>
      <protection/>
    </xf>
    <xf numFmtId="2" fontId="0" fillId="47" borderId="29" xfId="0" applyNumberFormat="1" applyFill="1" applyBorder="1" applyAlignment="1" applyProtection="1">
      <alignment/>
      <protection/>
    </xf>
    <xf numFmtId="2" fontId="14" fillId="47" borderId="0" xfId="0" applyNumberFormat="1" applyFont="1" applyFill="1" applyBorder="1" applyAlignment="1" applyProtection="1">
      <alignment/>
      <protection/>
    </xf>
    <xf numFmtId="2" fontId="8" fillId="43" borderId="33" xfId="0" applyNumberFormat="1" applyFont="1" applyFill="1" applyBorder="1" applyAlignment="1" applyProtection="1">
      <alignment/>
      <protection/>
    </xf>
    <xf numFmtId="2" fontId="7" fillId="43" borderId="27" xfId="0" applyNumberFormat="1" applyFont="1" applyFill="1" applyBorder="1" applyAlignment="1" applyProtection="1">
      <alignment horizontal="left"/>
      <protection/>
    </xf>
    <xf numFmtId="2" fontId="11" fillId="43" borderId="27" xfId="0" applyNumberFormat="1" applyFont="1" applyFill="1" applyBorder="1" applyAlignment="1" applyProtection="1">
      <alignment/>
      <protection/>
    </xf>
    <xf numFmtId="2" fontId="0" fillId="43" borderId="26" xfId="0" applyNumberFormat="1" applyFill="1" applyBorder="1" applyAlignment="1" applyProtection="1">
      <alignment/>
      <protection/>
    </xf>
    <xf numFmtId="2" fontId="0" fillId="43" borderId="29" xfId="0" applyNumberFormat="1" applyFill="1" applyBorder="1" applyAlignment="1" applyProtection="1">
      <alignment/>
      <protection/>
    </xf>
    <xf numFmtId="2" fontId="0" fillId="43" borderId="34" xfId="0" applyNumberFormat="1" applyFill="1" applyBorder="1" applyAlignment="1" applyProtection="1">
      <alignment/>
      <protection/>
    </xf>
    <xf numFmtId="2" fontId="7" fillId="47" borderId="27" xfId="0" applyNumberFormat="1" applyFont="1" applyFill="1" applyBorder="1" applyAlignment="1" applyProtection="1">
      <alignment horizontal="left"/>
      <protection/>
    </xf>
    <xf numFmtId="2" fontId="0" fillId="43" borderId="35" xfId="0" applyNumberFormat="1" applyFill="1" applyBorder="1" applyAlignment="1" applyProtection="1">
      <alignment/>
      <protection/>
    </xf>
    <xf numFmtId="2" fontId="0" fillId="43" borderId="36" xfId="0" applyNumberFormat="1" applyFill="1" applyBorder="1" applyAlignment="1" applyProtection="1">
      <alignment/>
      <protection/>
    </xf>
    <xf numFmtId="2" fontId="14" fillId="43" borderId="36" xfId="0" applyNumberFormat="1" applyFont="1" applyFill="1" applyBorder="1" applyAlignment="1" applyProtection="1">
      <alignment horizontal="center"/>
      <protection/>
    </xf>
    <xf numFmtId="2" fontId="0" fillId="43" borderId="37" xfId="0" applyNumberFormat="1" applyFill="1" applyBorder="1" applyAlignment="1" applyProtection="1">
      <alignment/>
      <protection/>
    </xf>
    <xf numFmtId="2" fontId="0" fillId="46" borderId="0" xfId="0" applyNumberFormat="1" applyFill="1" applyBorder="1" applyAlignment="1" applyProtection="1">
      <alignment horizontal="center"/>
      <protection locked="0"/>
    </xf>
    <xf numFmtId="2" fontId="0" fillId="43" borderId="27" xfId="0" applyNumberFormat="1" applyFill="1" applyBorder="1" applyAlignment="1" applyProtection="1" quotePrefix="1">
      <alignment/>
      <protection/>
    </xf>
    <xf numFmtId="2" fontId="34" fillId="43" borderId="38" xfId="0" applyNumberFormat="1" applyFont="1" applyFill="1" applyBorder="1" applyAlignment="1" applyProtection="1">
      <alignment horizontal="center"/>
      <protection/>
    </xf>
    <xf numFmtId="2" fontId="34" fillId="43" borderId="39" xfId="0" applyNumberFormat="1" applyFont="1" applyFill="1" applyBorder="1" applyAlignment="1" applyProtection="1">
      <alignment horizontal="center"/>
      <protection/>
    </xf>
    <xf numFmtId="2" fontId="38" fillId="43" borderId="29" xfId="0" applyNumberFormat="1" applyFont="1" applyFill="1" applyBorder="1" applyAlignment="1" applyProtection="1">
      <alignment/>
      <protection/>
    </xf>
    <xf numFmtId="2" fontId="14" fillId="43" borderId="0" xfId="0" applyNumberFormat="1" applyFont="1" applyFill="1" applyBorder="1" applyAlignment="1" applyProtection="1">
      <alignment horizontal="right"/>
      <protection/>
    </xf>
    <xf numFmtId="2" fontId="34" fillId="43" borderId="0" xfId="0" applyNumberFormat="1" applyFont="1" applyFill="1" applyBorder="1" applyAlignment="1" applyProtection="1">
      <alignment horizontal="left"/>
      <protection/>
    </xf>
    <xf numFmtId="2" fontId="8" fillId="43" borderId="33" xfId="0" applyNumberFormat="1" applyFont="1" applyFill="1" applyBorder="1" applyAlignment="1" applyProtection="1">
      <alignment horizontal="right"/>
      <protection/>
    </xf>
    <xf numFmtId="2" fontId="7" fillId="47" borderId="33" xfId="0" applyNumberFormat="1" applyFont="1" applyFill="1" applyBorder="1" applyAlignment="1" applyProtection="1">
      <alignment/>
      <protection/>
    </xf>
    <xf numFmtId="2" fontId="0" fillId="47" borderId="18" xfId="0" applyNumberFormat="1" applyFont="1" applyFill="1" applyBorder="1" applyAlignment="1" applyProtection="1">
      <alignment/>
      <protection/>
    </xf>
    <xf numFmtId="2" fontId="0" fillId="47" borderId="30" xfId="0" applyNumberFormat="1" applyFont="1" applyFill="1" applyBorder="1" applyAlignment="1" applyProtection="1">
      <alignment horizontal="right"/>
      <protection/>
    </xf>
    <xf numFmtId="174" fontId="0" fillId="46" borderId="24" xfId="0" applyNumberFormat="1" applyFont="1" applyFill="1" applyBorder="1" applyAlignment="1" applyProtection="1">
      <alignment horizontal="center"/>
      <protection locked="0"/>
    </xf>
    <xf numFmtId="2" fontId="0" fillId="47" borderId="27" xfId="0" applyNumberFormat="1" applyFont="1" applyFill="1" applyBorder="1" applyAlignment="1" applyProtection="1">
      <alignment/>
      <protection/>
    </xf>
    <xf numFmtId="2" fontId="0" fillId="47" borderId="0" xfId="0" applyNumberFormat="1" applyFont="1" applyFill="1" applyBorder="1" applyAlignment="1" applyProtection="1">
      <alignment/>
      <protection/>
    </xf>
    <xf numFmtId="2" fontId="0" fillId="47" borderId="27" xfId="0" applyNumberFormat="1" applyFont="1" applyFill="1" applyBorder="1" applyAlignment="1" applyProtection="1">
      <alignment horizontal="right"/>
      <protection/>
    </xf>
    <xf numFmtId="2" fontId="0" fillId="47" borderId="0" xfId="0" applyNumberFormat="1" applyFont="1" applyFill="1" applyBorder="1" applyAlignment="1" applyProtection="1">
      <alignment horizontal="right"/>
      <protection/>
    </xf>
    <xf numFmtId="2" fontId="0" fillId="47" borderId="28" xfId="0" applyNumberFormat="1" applyFont="1" applyFill="1" applyBorder="1" applyAlignment="1" applyProtection="1">
      <alignment horizontal="right"/>
      <protection/>
    </xf>
    <xf numFmtId="172" fontId="0" fillId="47" borderId="26" xfId="0" applyNumberFormat="1" applyFont="1" applyFill="1" applyBorder="1" applyAlignment="1" applyProtection="1">
      <alignment/>
      <protection/>
    </xf>
    <xf numFmtId="2" fontId="6" fillId="47" borderId="27" xfId="0" applyNumberFormat="1" applyFont="1" applyFill="1" applyBorder="1" applyAlignment="1" applyProtection="1">
      <alignment/>
      <protection/>
    </xf>
    <xf numFmtId="2" fontId="0" fillId="47" borderId="26" xfId="0" applyNumberFormat="1" applyFont="1" applyFill="1" applyBorder="1" applyAlignment="1" applyProtection="1">
      <alignment/>
      <protection/>
    </xf>
    <xf numFmtId="2" fontId="0" fillId="47" borderId="28" xfId="0" applyNumberFormat="1" applyFont="1" applyFill="1" applyBorder="1" applyAlignment="1" applyProtection="1">
      <alignment/>
      <protection/>
    </xf>
    <xf numFmtId="176" fontId="0" fillId="46" borderId="24" xfId="0" applyNumberFormat="1" applyFont="1" applyFill="1" applyBorder="1" applyAlignment="1" applyProtection="1">
      <alignment/>
      <protection locked="0"/>
    </xf>
    <xf numFmtId="172" fontId="0" fillId="46" borderId="22" xfId="0" applyNumberFormat="1" applyFont="1" applyFill="1" applyBorder="1" applyAlignment="1" applyProtection="1">
      <alignment horizontal="center"/>
      <protection locked="0"/>
    </xf>
    <xf numFmtId="175" fontId="0" fillId="46" borderId="23" xfId="0" applyNumberFormat="1" applyFont="1" applyFill="1" applyBorder="1" applyAlignment="1" applyProtection="1">
      <alignment horizontal="center"/>
      <protection locked="0"/>
    </xf>
    <xf numFmtId="1" fontId="0" fillId="46" borderId="40" xfId="0" applyNumberFormat="1" applyFont="1" applyFill="1" applyBorder="1" applyAlignment="1" applyProtection="1">
      <alignment horizontal="center"/>
      <protection locked="0"/>
    </xf>
    <xf numFmtId="0" fontId="0" fillId="47" borderId="30" xfId="0" applyFont="1" applyFill="1" applyBorder="1" applyAlignment="1">
      <alignment/>
    </xf>
    <xf numFmtId="0" fontId="0" fillId="47" borderId="24" xfId="0" applyFont="1" applyFill="1" applyBorder="1" applyAlignment="1">
      <alignment/>
    </xf>
    <xf numFmtId="0" fontId="0" fillId="47" borderId="25" xfId="0" applyFont="1" applyFill="1" applyBorder="1" applyAlignment="1">
      <alignment/>
    </xf>
    <xf numFmtId="2" fontId="0" fillId="47" borderId="30" xfId="0" applyNumberFormat="1" applyFont="1" applyFill="1" applyBorder="1" applyAlignment="1" applyProtection="1">
      <alignment/>
      <protection/>
    </xf>
    <xf numFmtId="2" fontId="34" fillId="47" borderId="38" xfId="0" applyNumberFormat="1" applyFont="1" applyFill="1" applyBorder="1" applyAlignment="1" applyProtection="1">
      <alignment horizontal="center"/>
      <protection/>
    </xf>
    <xf numFmtId="2" fontId="34" fillId="47" borderId="39" xfId="0" applyNumberFormat="1" applyFont="1" applyFill="1" applyBorder="1" applyAlignment="1" applyProtection="1">
      <alignment horizontal="center"/>
      <protection/>
    </xf>
    <xf numFmtId="2" fontId="0" fillId="47" borderId="0" xfId="0" applyNumberFormat="1" applyFont="1" applyFill="1" applyBorder="1" applyAlignment="1" applyProtection="1">
      <alignment horizontal="left"/>
      <protection/>
    </xf>
    <xf numFmtId="2" fontId="34" fillId="47" borderId="29" xfId="0" applyNumberFormat="1" applyFont="1" applyFill="1" applyBorder="1" applyAlignment="1" applyProtection="1">
      <alignment/>
      <protection/>
    </xf>
    <xf numFmtId="2" fontId="0" fillId="47" borderId="41" xfId="0" applyNumberFormat="1" applyFont="1" applyFill="1" applyBorder="1" applyAlignment="1" applyProtection="1">
      <alignment/>
      <protection/>
    </xf>
    <xf numFmtId="2" fontId="0" fillId="33" borderId="0" xfId="0" applyNumberFormat="1" applyFont="1" applyFill="1" applyAlignment="1" applyProtection="1">
      <alignment/>
      <protection/>
    </xf>
    <xf numFmtId="2" fontId="0" fillId="47" borderId="29" xfId="0" applyNumberFormat="1" applyFont="1" applyFill="1" applyBorder="1" applyAlignment="1" applyProtection="1">
      <alignment/>
      <protection/>
    </xf>
    <xf numFmtId="2" fontId="0" fillId="47" borderId="34" xfId="0" applyNumberFormat="1" applyFont="1" applyFill="1" applyBorder="1" applyAlignment="1" applyProtection="1">
      <alignment/>
      <protection/>
    </xf>
    <xf numFmtId="2" fontId="0" fillId="46" borderId="0" xfId="0" applyNumberFormat="1" applyFont="1" applyFill="1" applyBorder="1" applyAlignment="1" applyProtection="1">
      <alignment horizontal="center"/>
      <protection locked="0"/>
    </xf>
    <xf numFmtId="174" fontId="7" fillId="44" borderId="15" xfId="0" applyNumberFormat="1" applyFont="1" applyFill="1" applyBorder="1" applyAlignment="1" applyProtection="1">
      <alignment/>
      <protection/>
    </xf>
    <xf numFmtId="2" fontId="15" fillId="43" borderId="28" xfId="0" applyNumberFormat="1" applyFont="1" applyFill="1" applyBorder="1" applyAlignment="1" applyProtection="1">
      <alignment/>
      <protection/>
    </xf>
    <xf numFmtId="174" fontId="14" fillId="44" borderId="15" xfId="0" applyNumberFormat="1" applyFont="1" applyFill="1" applyBorder="1" applyAlignment="1" applyProtection="1">
      <alignment/>
      <protection/>
    </xf>
    <xf numFmtId="2" fontId="14" fillId="44" borderId="42" xfId="0" applyNumberFormat="1" applyFont="1" applyFill="1" applyBorder="1" applyAlignment="1" applyProtection="1">
      <alignment horizontal="center"/>
      <protection/>
    </xf>
    <xf numFmtId="175" fontId="7" fillId="44" borderId="22" xfId="0" applyNumberFormat="1" applyFont="1" applyFill="1" applyBorder="1" applyAlignment="1" applyProtection="1">
      <alignment/>
      <protection/>
    </xf>
    <xf numFmtId="175" fontId="7" fillId="44" borderId="40" xfId="0" applyNumberFormat="1" applyFont="1" applyFill="1" applyBorder="1" applyAlignment="1" applyProtection="1">
      <alignment/>
      <protection/>
    </xf>
    <xf numFmtId="174" fontId="7" fillId="44" borderId="22" xfId="0" applyNumberFormat="1" applyFont="1" applyFill="1" applyBorder="1" applyAlignment="1" applyProtection="1">
      <alignment/>
      <protection/>
    </xf>
    <xf numFmtId="174" fontId="14" fillId="44" borderId="43" xfId="0" applyNumberFormat="1" applyFont="1" applyFill="1" applyBorder="1" applyAlignment="1" applyProtection="1">
      <alignment/>
      <protection/>
    </xf>
    <xf numFmtId="174" fontId="14" fillId="44" borderId="44" xfId="0" applyNumberFormat="1" applyFont="1" applyFill="1" applyBorder="1" applyAlignment="1" applyProtection="1">
      <alignment horizontal="center"/>
      <protection/>
    </xf>
    <xf numFmtId="174" fontId="14" fillId="44" borderId="45" xfId="0" applyNumberFormat="1" applyFont="1" applyFill="1" applyBorder="1" applyAlignment="1" applyProtection="1">
      <alignment horizontal="center"/>
      <protection/>
    </xf>
    <xf numFmtId="175" fontId="14" fillId="44" borderId="40" xfId="0" applyNumberFormat="1" applyFont="1" applyFill="1" applyBorder="1" applyAlignment="1" applyProtection="1">
      <alignment/>
      <protection/>
    </xf>
    <xf numFmtId="172" fontId="14" fillId="44" borderId="42" xfId="0" applyNumberFormat="1" applyFont="1" applyFill="1" applyBorder="1" applyAlignment="1" applyProtection="1">
      <alignment horizontal="center"/>
      <protection/>
    </xf>
    <xf numFmtId="174" fontId="14" fillId="44" borderId="35" xfId="0" applyNumberFormat="1" applyFont="1" applyFill="1" applyBorder="1" applyAlignment="1" applyProtection="1">
      <alignment horizontal="center"/>
      <protection/>
    </xf>
    <xf numFmtId="174" fontId="14" fillId="44" borderId="46" xfId="0" applyNumberFormat="1" applyFont="1" applyFill="1" applyBorder="1" applyAlignment="1" applyProtection="1">
      <alignment horizontal="center"/>
      <protection/>
    </xf>
    <xf numFmtId="174" fontId="7" fillId="44" borderId="31" xfId="0" applyNumberFormat="1" applyFont="1" applyFill="1" applyBorder="1" applyAlignment="1" applyProtection="1">
      <alignment/>
      <protection/>
    </xf>
    <xf numFmtId="174" fontId="14" fillId="44" borderId="47" xfId="0" applyNumberFormat="1" applyFont="1" applyFill="1" applyBorder="1" applyAlignment="1" applyProtection="1">
      <alignment/>
      <protection/>
    </xf>
    <xf numFmtId="2" fontId="6" fillId="46" borderId="0" xfId="0" applyNumberFormat="1" applyFont="1" applyFill="1" applyBorder="1" applyAlignment="1" applyProtection="1">
      <alignment horizontal="center"/>
      <protection locked="0"/>
    </xf>
    <xf numFmtId="2" fontId="0" fillId="47" borderId="25" xfId="0" applyNumberFormat="1" applyFont="1" applyFill="1" applyBorder="1" applyAlignment="1" applyProtection="1">
      <alignment/>
      <protection/>
    </xf>
    <xf numFmtId="2" fontId="14" fillId="47" borderId="0" xfId="0" applyNumberFormat="1" applyFont="1" applyFill="1" applyBorder="1" applyAlignment="1" applyProtection="1">
      <alignment horizontal="right"/>
      <protection/>
    </xf>
    <xf numFmtId="2" fontId="0" fillId="47" borderId="24" xfId="0" applyNumberFormat="1" applyFont="1" applyFill="1" applyBorder="1" applyAlignment="1" applyProtection="1">
      <alignment/>
      <protection/>
    </xf>
    <xf numFmtId="2" fontId="14" fillId="47" borderId="24" xfId="0" applyNumberFormat="1" applyFont="1" applyFill="1" applyBorder="1" applyAlignment="1" applyProtection="1">
      <alignment horizontal="center"/>
      <protection/>
    </xf>
    <xf numFmtId="2" fontId="0" fillId="47" borderId="29" xfId="0" applyNumberFormat="1" applyFont="1" applyFill="1" applyBorder="1" applyAlignment="1" applyProtection="1">
      <alignment horizontal="right"/>
      <protection/>
    </xf>
    <xf numFmtId="2" fontId="0" fillId="47" borderId="24" xfId="0" applyNumberFormat="1" applyFont="1" applyFill="1" applyBorder="1" applyAlignment="1" applyProtection="1">
      <alignment horizontal="right"/>
      <protection/>
    </xf>
    <xf numFmtId="2" fontId="6" fillId="47" borderId="30" xfId="0" applyNumberFormat="1" applyFont="1" applyFill="1" applyBorder="1" applyAlignment="1" applyProtection="1">
      <alignment/>
      <protection/>
    </xf>
    <xf numFmtId="2" fontId="0" fillId="47" borderId="29" xfId="0" applyNumberFormat="1" applyFont="1" applyFill="1" applyBorder="1" applyAlignment="1" applyProtection="1">
      <alignment/>
      <protection/>
    </xf>
    <xf numFmtId="2" fontId="6" fillId="47" borderId="30" xfId="0" applyNumberFormat="1" applyFont="1" applyFill="1" applyBorder="1" applyAlignment="1" applyProtection="1">
      <alignment horizontal="right"/>
      <protection/>
    </xf>
    <xf numFmtId="175" fontId="7" fillId="44" borderId="42" xfId="0" applyNumberFormat="1" applyFont="1" applyFill="1" applyBorder="1" applyAlignment="1" applyProtection="1">
      <alignment horizontal="center"/>
      <protection/>
    </xf>
    <xf numFmtId="175" fontId="7" fillId="44" borderId="47" xfId="0" applyNumberFormat="1" applyFont="1" applyFill="1" applyBorder="1" applyAlignment="1" applyProtection="1">
      <alignment horizontal="center"/>
      <protection/>
    </xf>
    <xf numFmtId="2" fontId="7" fillId="44" borderId="42" xfId="0" applyNumberFormat="1" applyFont="1" applyFill="1" applyBorder="1" applyAlignment="1" applyProtection="1">
      <alignment horizontal="center"/>
      <protection/>
    </xf>
    <xf numFmtId="176" fontId="7" fillId="44" borderId="42" xfId="0" applyNumberFormat="1" applyFont="1" applyFill="1" applyBorder="1" applyAlignment="1" applyProtection="1">
      <alignment/>
      <protection/>
    </xf>
    <xf numFmtId="4" fontId="7" fillId="44" borderId="42" xfId="0" applyNumberFormat="1" applyFont="1" applyFill="1" applyBorder="1" applyAlignment="1" applyProtection="1">
      <alignment horizontal="center"/>
      <protection/>
    </xf>
    <xf numFmtId="173" fontId="7" fillId="44" borderId="31" xfId="0" applyNumberFormat="1" applyFont="1" applyFill="1" applyBorder="1" applyAlignment="1" applyProtection="1">
      <alignment/>
      <protection/>
    </xf>
    <xf numFmtId="176" fontId="7" fillId="44" borderId="47" xfId="0" applyNumberFormat="1" applyFont="1" applyFill="1" applyBorder="1" applyAlignment="1" applyProtection="1">
      <alignment/>
      <protection/>
    </xf>
    <xf numFmtId="2" fontId="8" fillId="47" borderId="33" xfId="0" applyNumberFormat="1" applyFont="1" applyFill="1" applyBorder="1" applyAlignment="1" applyProtection="1">
      <alignment horizontal="right"/>
      <protection/>
    </xf>
    <xf numFmtId="2" fontId="14" fillId="44" borderId="47" xfId="0" applyNumberFormat="1" applyFont="1" applyFill="1" applyBorder="1" applyAlignment="1" applyProtection="1">
      <alignment horizontal="center"/>
      <protection/>
    </xf>
    <xf numFmtId="4" fontId="14" fillId="48" borderId="0" xfId="0" applyNumberFormat="1" applyFont="1" applyFill="1" applyBorder="1" applyAlignment="1" applyProtection="1">
      <alignment horizontal="center"/>
      <protection locked="0"/>
    </xf>
    <xf numFmtId="10" fontId="0" fillId="44" borderId="0" xfId="0" applyNumberFormat="1" applyFill="1" applyBorder="1" applyAlignment="1" applyProtection="1">
      <alignment horizontal="center"/>
      <protection/>
    </xf>
    <xf numFmtId="9" fontId="0" fillId="44" borderId="47" xfId="0" applyNumberFormat="1" applyFill="1" applyBorder="1" applyAlignment="1" applyProtection="1">
      <alignment horizontal="center"/>
      <protection/>
    </xf>
    <xf numFmtId="2" fontId="7" fillId="44" borderId="0" xfId="0" applyNumberFormat="1" applyFont="1" applyFill="1" applyBorder="1" applyAlignment="1" applyProtection="1">
      <alignment horizontal="center"/>
      <protection/>
    </xf>
    <xf numFmtId="10" fontId="6" fillId="44" borderId="0" xfId="0" applyNumberFormat="1" applyFont="1" applyFill="1" applyBorder="1" applyAlignment="1" applyProtection="1">
      <alignment horizontal="center"/>
      <protection/>
    </xf>
    <xf numFmtId="2" fontId="6" fillId="44" borderId="0" xfId="0" applyNumberFormat="1" applyFont="1" applyFill="1" applyBorder="1" applyAlignment="1" applyProtection="1">
      <alignment horizontal="right"/>
      <protection/>
    </xf>
    <xf numFmtId="4" fontId="7" fillId="44" borderId="0" xfId="0" applyNumberFormat="1" applyFont="1" applyFill="1" applyBorder="1" applyAlignment="1" applyProtection="1">
      <alignment horizontal="center"/>
      <protection/>
    </xf>
    <xf numFmtId="2" fontId="6" fillId="35" borderId="30" xfId="0" applyNumberFormat="1" applyFont="1" applyFill="1" applyBorder="1" applyAlignment="1" applyProtection="1">
      <alignment/>
      <protection/>
    </xf>
    <xf numFmtId="2" fontId="7" fillId="35" borderId="24" xfId="0" applyNumberFormat="1" applyFont="1" applyFill="1" applyBorder="1" applyAlignment="1" applyProtection="1">
      <alignment/>
      <protection/>
    </xf>
    <xf numFmtId="2" fontId="7" fillId="35" borderId="27" xfId="0" applyNumberFormat="1" applyFont="1" applyFill="1" applyBorder="1" applyAlignment="1" applyProtection="1">
      <alignment/>
      <protection/>
    </xf>
    <xf numFmtId="2" fontId="6" fillId="35" borderId="27" xfId="0" applyNumberFormat="1" applyFont="1" applyFill="1" applyBorder="1" applyAlignment="1" applyProtection="1">
      <alignment/>
      <protection/>
    </xf>
    <xf numFmtId="2" fontId="9" fillId="35" borderId="27" xfId="0" applyNumberFormat="1" applyFont="1" applyFill="1" applyBorder="1" applyAlignment="1" applyProtection="1">
      <alignment/>
      <protection/>
    </xf>
    <xf numFmtId="2" fontId="0" fillId="35" borderId="0" xfId="0" applyNumberFormat="1" applyFill="1" applyBorder="1" applyAlignment="1" applyProtection="1">
      <alignment horizontal="center"/>
      <protection/>
    </xf>
    <xf numFmtId="177" fontId="0" fillId="44" borderId="0" xfId="42" applyNumberFormat="1" applyFont="1" applyFill="1" applyBorder="1" applyAlignment="1" applyProtection="1">
      <alignment horizontal="right"/>
      <protection/>
    </xf>
    <xf numFmtId="2" fontId="0" fillId="35" borderId="26" xfId="0" applyNumberFormat="1" applyFill="1" applyBorder="1" applyAlignment="1" applyProtection="1" quotePrefix="1">
      <alignment/>
      <protection/>
    </xf>
    <xf numFmtId="2" fontId="0" fillId="44" borderId="0" xfId="0" applyNumberFormat="1" applyFill="1" applyBorder="1" applyAlignment="1" applyProtection="1">
      <alignment/>
      <protection/>
    </xf>
    <xf numFmtId="2" fontId="0" fillId="35" borderId="0" xfId="0" applyNumberFormat="1" applyFill="1" applyBorder="1" applyAlignment="1" applyProtection="1">
      <alignment horizontal="left"/>
      <protection/>
    </xf>
    <xf numFmtId="2" fontId="0" fillId="44" borderId="26" xfId="0" applyNumberFormat="1" applyFill="1" applyBorder="1" applyAlignment="1" applyProtection="1">
      <alignment horizontal="center"/>
      <protection/>
    </xf>
    <xf numFmtId="2" fontId="7" fillId="35" borderId="27" xfId="0" applyNumberFormat="1" applyFont="1" applyFill="1" applyBorder="1" applyAlignment="1" applyProtection="1">
      <alignment horizontal="right"/>
      <protection/>
    </xf>
    <xf numFmtId="10" fontId="6" fillId="44" borderId="0" xfId="0" applyNumberFormat="1" applyFont="1" applyFill="1" applyBorder="1" applyAlignment="1" applyProtection="1">
      <alignment horizontal="center"/>
      <protection/>
    </xf>
    <xf numFmtId="37" fontId="6" fillId="44" borderId="0" xfId="42" applyNumberFormat="1" applyFont="1" applyFill="1" applyBorder="1" applyAlignment="1" applyProtection="1">
      <alignment horizontal="center"/>
      <protection/>
    </xf>
    <xf numFmtId="2" fontId="6" fillId="44" borderId="26" xfId="0" applyNumberFormat="1" applyFont="1" applyFill="1" applyBorder="1" applyAlignment="1" applyProtection="1">
      <alignment horizontal="center"/>
      <protection/>
    </xf>
    <xf numFmtId="2" fontId="7" fillId="35" borderId="28" xfId="0" applyNumberFormat="1" applyFont="1" applyFill="1" applyBorder="1" applyAlignment="1" applyProtection="1">
      <alignment horizontal="right"/>
      <protection/>
    </xf>
    <xf numFmtId="10" fontId="6" fillId="44" borderId="29" xfId="0" applyNumberFormat="1" applyFont="1" applyFill="1" applyBorder="1" applyAlignment="1" applyProtection="1">
      <alignment horizontal="center"/>
      <protection/>
    </xf>
    <xf numFmtId="2" fontId="0" fillId="35" borderId="29" xfId="0" applyNumberFormat="1" applyFill="1" applyBorder="1" applyAlignment="1" applyProtection="1">
      <alignment horizontal="left"/>
      <protection/>
    </xf>
    <xf numFmtId="9" fontId="6" fillId="44" borderId="34" xfId="0" applyNumberFormat="1" applyFont="1" applyFill="1" applyBorder="1" applyAlignment="1" applyProtection="1">
      <alignment horizontal="center"/>
      <protection/>
    </xf>
    <xf numFmtId="173" fontId="33" fillId="46" borderId="39" xfId="0" applyNumberFormat="1" applyFont="1" applyFill="1" applyBorder="1" applyAlignment="1" applyProtection="1">
      <alignment horizontal="center"/>
      <protection locked="0"/>
    </xf>
    <xf numFmtId="2" fontId="33" fillId="46" borderId="34" xfId="0" applyNumberFormat="1" applyFont="1" applyFill="1" applyBorder="1" applyAlignment="1" applyProtection="1">
      <alignment horizontal="center"/>
      <protection locked="0"/>
    </xf>
    <xf numFmtId="2" fontId="43" fillId="44" borderId="42" xfId="0" applyNumberFormat="1" applyFont="1" applyFill="1" applyBorder="1" applyAlignment="1" applyProtection="1">
      <alignment horizontal="center"/>
      <protection/>
    </xf>
    <xf numFmtId="174" fontId="33" fillId="46" borderId="39" xfId="0" applyNumberFormat="1" applyFont="1" applyFill="1" applyBorder="1" applyAlignment="1" applyProtection="1">
      <alignment horizontal="center"/>
      <protection locked="0"/>
    </xf>
    <xf numFmtId="174" fontId="33" fillId="46" borderId="34" xfId="0" applyNumberFormat="1" applyFont="1" applyFill="1" applyBorder="1" applyAlignment="1" applyProtection="1">
      <alignment horizontal="center"/>
      <protection locked="0"/>
    </xf>
    <xf numFmtId="2" fontId="7" fillId="43" borderId="30" xfId="0" applyNumberFormat="1" applyFont="1" applyFill="1" applyBorder="1" applyAlignment="1" applyProtection="1" quotePrefix="1">
      <alignment/>
      <protection/>
    </xf>
    <xf numFmtId="2" fontId="0" fillId="43" borderId="24" xfId="0" applyNumberFormat="1" applyFill="1" applyBorder="1" applyAlignment="1" applyProtection="1">
      <alignment/>
      <protection/>
    </xf>
    <xf numFmtId="2" fontId="15" fillId="43" borderId="24" xfId="0" applyNumberFormat="1" applyFont="1" applyFill="1" applyBorder="1" applyAlignment="1" applyProtection="1">
      <alignment/>
      <protection/>
    </xf>
    <xf numFmtId="2" fontId="0" fillId="43" borderId="25" xfId="0" applyNumberFormat="1" applyFill="1" applyBorder="1" applyAlignment="1" applyProtection="1">
      <alignment/>
      <protection/>
    </xf>
    <xf numFmtId="2" fontId="0" fillId="43" borderId="0" xfId="0" applyNumberFormat="1" applyFill="1" applyBorder="1" applyAlignment="1" applyProtection="1" quotePrefix="1">
      <alignment/>
      <protection/>
    </xf>
    <xf numFmtId="2" fontId="49" fillId="43" borderId="0" xfId="0" applyNumberFormat="1" applyFont="1" applyFill="1" applyBorder="1" applyAlignment="1" applyProtection="1">
      <alignment/>
      <protection/>
    </xf>
    <xf numFmtId="2" fontId="7" fillId="43" borderId="30" xfId="0" applyNumberFormat="1" applyFont="1" applyFill="1" applyBorder="1" applyAlignment="1" applyProtection="1">
      <alignment horizontal="right"/>
      <protection/>
    </xf>
    <xf numFmtId="2" fontId="14" fillId="43" borderId="24" xfId="0" applyNumberFormat="1" applyFont="1" applyFill="1" applyBorder="1" applyAlignment="1" applyProtection="1">
      <alignment horizontal="left"/>
      <protection/>
    </xf>
    <xf numFmtId="0" fontId="0" fillId="43" borderId="24" xfId="0" applyFill="1" applyBorder="1" applyAlignment="1">
      <alignment/>
    </xf>
    <xf numFmtId="2" fontId="14" fillId="43" borderId="0" xfId="0" applyNumberFormat="1" applyFont="1" applyFill="1" applyBorder="1" applyAlignment="1" applyProtection="1" quotePrefix="1">
      <alignment horizontal="center"/>
      <protection/>
    </xf>
    <xf numFmtId="2" fontId="14" fillId="43" borderId="29" xfId="0" applyNumberFormat="1" applyFont="1" applyFill="1" applyBorder="1" applyAlignment="1" applyProtection="1" quotePrefix="1">
      <alignment horizontal="center"/>
      <protection/>
    </xf>
    <xf numFmtId="2" fontId="0" fillId="43" borderId="29" xfId="0" applyNumberFormat="1" applyFill="1" applyBorder="1" applyAlignment="1" applyProtection="1">
      <alignment horizontal="right"/>
      <protection/>
    </xf>
    <xf numFmtId="0" fontId="0" fillId="43" borderId="29" xfId="0" applyFill="1" applyBorder="1" applyAlignment="1">
      <alignment/>
    </xf>
    <xf numFmtId="2" fontId="14" fillId="49" borderId="32" xfId="0" applyNumberFormat="1" applyFont="1" applyFill="1" applyBorder="1" applyAlignment="1" applyProtection="1">
      <alignment horizontal="center"/>
      <protection locked="0"/>
    </xf>
    <xf numFmtId="177" fontId="0" fillId="49" borderId="0" xfId="42" applyNumberFormat="1" applyFont="1" applyFill="1" applyBorder="1" applyAlignment="1" applyProtection="1">
      <alignment horizontal="right"/>
      <protection locked="0"/>
    </xf>
    <xf numFmtId="181" fontId="7" fillId="46" borderId="0" xfId="0" applyNumberFormat="1" applyFont="1" applyFill="1" applyBorder="1" applyAlignment="1" applyProtection="1">
      <alignment horizontal="center"/>
      <protection locked="0"/>
    </xf>
    <xf numFmtId="2" fontId="0" fillId="35" borderId="48" xfId="0" applyNumberFormat="1" applyFill="1" applyBorder="1" applyAlignment="1" applyProtection="1">
      <alignment/>
      <protection/>
    </xf>
    <xf numFmtId="2" fontId="8" fillId="35" borderId="49" xfId="0" applyNumberFormat="1" applyFont="1" applyFill="1" applyBorder="1" applyAlignment="1" applyProtection="1">
      <alignment/>
      <protection/>
    </xf>
    <xf numFmtId="2" fontId="0" fillId="35" borderId="50" xfId="0" applyNumberFormat="1" applyFill="1" applyBorder="1" applyAlignment="1" applyProtection="1">
      <alignment/>
      <protection/>
    </xf>
    <xf numFmtId="2" fontId="14" fillId="35" borderId="51" xfId="0" applyNumberFormat="1" applyFont="1" applyFill="1" applyBorder="1" applyAlignment="1" applyProtection="1">
      <alignment/>
      <protection/>
    </xf>
    <xf numFmtId="181" fontId="14" fillId="48" borderId="0" xfId="0" applyNumberFormat="1" applyFont="1" applyFill="1" applyBorder="1" applyAlignment="1" applyProtection="1">
      <alignment horizontal="center"/>
      <protection locked="0"/>
    </xf>
    <xf numFmtId="10" fontId="0" fillId="50" borderId="0" xfId="0" applyNumberFormat="1" applyFill="1" applyBorder="1" applyAlignment="1" applyProtection="1">
      <alignment horizontal="center"/>
      <protection locked="0"/>
    </xf>
    <xf numFmtId="3" fontId="14" fillId="46" borderId="0" xfId="0" applyNumberFormat="1" applyFont="1" applyFill="1" applyBorder="1" applyAlignment="1" applyProtection="1">
      <alignment horizontal="center"/>
      <protection locked="0"/>
    </xf>
    <xf numFmtId="10" fontId="7" fillId="44" borderId="26" xfId="0" applyNumberFormat="1" applyFont="1" applyFill="1" applyBorder="1" applyAlignment="1" applyProtection="1">
      <alignment horizontal="center"/>
      <protection/>
    </xf>
    <xf numFmtId="9" fontId="0" fillId="45" borderId="43" xfId="0" applyNumberFormat="1" applyFill="1" applyBorder="1" applyAlignment="1" applyProtection="1">
      <alignment horizontal="center"/>
      <protection/>
    </xf>
    <xf numFmtId="10" fontId="7" fillId="44" borderId="34" xfId="0" applyNumberFormat="1" applyFont="1" applyFill="1" applyBorder="1" applyAlignment="1" applyProtection="1">
      <alignment horizontal="center"/>
      <protection/>
    </xf>
    <xf numFmtId="2" fontId="14" fillId="51" borderId="49" xfId="0" applyNumberFormat="1" applyFont="1" applyFill="1" applyBorder="1" applyAlignment="1" applyProtection="1">
      <alignment/>
      <protection/>
    </xf>
    <xf numFmtId="2" fontId="0" fillId="51" borderId="48" xfId="0" applyNumberFormat="1" applyFill="1" applyBorder="1" applyAlignment="1" applyProtection="1">
      <alignment/>
      <protection/>
    </xf>
    <xf numFmtId="2" fontId="9" fillId="51" borderId="27" xfId="0" applyNumberFormat="1" applyFont="1" applyFill="1" applyBorder="1" applyAlignment="1" applyProtection="1">
      <alignment horizontal="right"/>
      <protection/>
    </xf>
    <xf numFmtId="10" fontId="6" fillId="51" borderId="26" xfId="0" applyNumberFormat="1" applyFont="1" applyFill="1" applyBorder="1" applyAlignment="1" applyProtection="1">
      <alignment horizontal="center"/>
      <protection/>
    </xf>
    <xf numFmtId="10" fontId="7" fillId="51" borderId="26" xfId="0" applyNumberFormat="1" applyFont="1" applyFill="1" applyBorder="1" applyAlignment="1" applyProtection="1">
      <alignment horizontal="center"/>
      <protection/>
    </xf>
    <xf numFmtId="2" fontId="0" fillId="51" borderId="28" xfId="0" applyNumberFormat="1" applyFill="1" applyBorder="1" applyAlignment="1" applyProtection="1">
      <alignment/>
      <protection/>
    </xf>
    <xf numFmtId="2" fontId="0" fillId="51" borderId="34" xfId="0" applyNumberFormat="1" applyFill="1" applyBorder="1" applyAlignment="1" applyProtection="1">
      <alignment/>
      <protection/>
    </xf>
    <xf numFmtId="2" fontId="34" fillId="35" borderId="26" xfId="0" applyNumberFormat="1" applyFont="1" applyFill="1" applyBorder="1" applyAlignment="1" applyProtection="1">
      <alignment horizontal="center"/>
      <protection/>
    </xf>
    <xf numFmtId="175" fontId="0" fillId="50" borderId="52" xfId="0" applyNumberFormat="1" applyFill="1" applyBorder="1" applyAlignment="1" applyProtection="1">
      <alignment horizontal="left"/>
      <protection locked="0"/>
    </xf>
    <xf numFmtId="2" fontId="0" fillId="49" borderId="0" xfId="0" applyNumberFormat="1" applyFont="1" applyFill="1" applyBorder="1" applyAlignment="1" applyProtection="1">
      <alignment horizontal="center"/>
      <protection locked="0"/>
    </xf>
    <xf numFmtId="2" fontId="0" fillId="49" borderId="15" xfId="0" applyNumberFormat="1" applyFont="1" applyFill="1" applyBorder="1" applyAlignment="1" applyProtection="1">
      <alignment horizontal="center"/>
      <protection locked="0"/>
    </xf>
    <xf numFmtId="2" fontId="15" fillId="47" borderId="27" xfId="0" applyNumberFormat="1" applyFont="1" applyFill="1" applyBorder="1" applyAlignment="1" applyProtection="1">
      <alignment/>
      <protection/>
    </xf>
    <xf numFmtId="2" fontId="15" fillId="47" borderId="28" xfId="0" applyNumberFormat="1" applyFont="1" applyFill="1" applyBorder="1" applyAlignment="1" applyProtection="1">
      <alignment/>
      <protection/>
    </xf>
    <xf numFmtId="1" fontId="0" fillId="33" borderId="0" xfId="0" applyNumberFormat="1" applyFill="1" applyAlignment="1" applyProtection="1">
      <alignment/>
      <protection/>
    </xf>
    <xf numFmtId="2" fontId="5" fillId="52" borderId="53" xfId="0" applyNumberFormat="1" applyFont="1" applyFill="1" applyBorder="1" applyAlignment="1" applyProtection="1">
      <alignment horizontal="center"/>
      <protection/>
    </xf>
    <xf numFmtId="2" fontId="8" fillId="47" borderId="49" xfId="0" applyNumberFormat="1" applyFont="1" applyFill="1" applyBorder="1" applyAlignment="1" applyProtection="1">
      <alignment/>
      <protection/>
    </xf>
    <xf numFmtId="2" fontId="0" fillId="47" borderId="54" xfId="0" applyNumberFormat="1" applyFill="1" applyBorder="1" applyAlignment="1" applyProtection="1">
      <alignment/>
      <protection/>
    </xf>
    <xf numFmtId="2" fontId="0" fillId="47" borderId="50" xfId="0" applyNumberFormat="1" applyFill="1" applyBorder="1" applyAlignment="1" applyProtection="1">
      <alignment/>
      <protection/>
    </xf>
    <xf numFmtId="2" fontId="0" fillId="47" borderId="24" xfId="0" applyNumberFormat="1" applyFill="1" applyBorder="1" applyAlignment="1" applyProtection="1" quotePrefix="1">
      <alignment/>
      <protection/>
    </xf>
    <xf numFmtId="2" fontId="10" fillId="47" borderId="0" xfId="0" applyNumberFormat="1" applyFont="1" applyFill="1" applyBorder="1" applyAlignment="1" applyProtection="1">
      <alignment horizontal="right"/>
      <protection/>
    </xf>
    <xf numFmtId="2" fontId="0" fillId="47" borderId="0" xfId="0" applyNumberFormat="1" applyFill="1" applyBorder="1" applyAlignment="1" applyProtection="1">
      <alignment horizontal="right"/>
      <protection/>
    </xf>
    <xf numFmtId="2" fontId="15" fillId="47" borderId="0" xfId="0" applyNumberFormat="1" applyFont="1" applyFill="1" applyBorder="1" applyAlignment="1" applyProtection="1">
      <alignment horizontal="right"/>
      <protection/>
    </xf>
    <xf numFmtId="2" fontId="9" fillId="47" borderId="0" xfId="0" applyNumberFormat="1" applyFont="1" applyFill="1" applyBorder="1" applyAlignment="1" applyProtection="1">
      <alignment horizontal="right"/>
      <protection/>
    </xf>
    <xf numFmtId="2" fontId="7" fillId="47" borderId="0" xfId="0" applyNumberFormat="1" applyFont="1" applyFill="1" applyBorder="1" applyAlignment="1" applyProtection="1">
      <alignment horizontal="right"/>
      <protection/>
    </xf>
    <xf numFmtId="173" fontId="16" fillId="47" borderId="0" xfId="0" applyNumberFormat="1" applyFont="1" applyFill="1" applyBorder="1" applyAlignment="1" applyProtection="1">
      <alignment horizontal="center"/>
      <protection/>
    </xf>
    <xf numFmtId="2" fontId="3" fillId="47" borderId="27" xfId="0" applyNumberFormat="1" applyFont="1" applyFill="1" applyBorder="1" applyAlignment="1" applyProtection="1">
      <alignment/>
      <protection/>
    </xf>
    <xf numFmtId="2" fontId="7" fillId="47" borderId="27" xfId="0" applyNumberFormat="1" applyFont="1" applyFill="1" applyBorder="1" applyAlignment="1" applyProtection="1">
      <alignment/>
      <protection/>
    </xf>
    <xf numFmtId="2" fontId="0" fillId="53" borderId="0" xfId="0" applyNumberFormat="1" applyFill="1" applyBorder="1" applyAlignment="1" applyProtection="1">
      <alignment/>
      <protection/>
    </xf>
    <xf numFmtId="2" fontId="0" fillId="53" borderId="0" xfId="0" applyNumberFormat="1" applyFill="1" applyBorder="1" applyAlignment="1" applyProtection="1">
      <alignment horizontal="center"/>
      <protection/>
    </xf>
    <xf numFmtId="0" fontId="0" fillId="43" borderId="0" xfId="0" applyFill="1" applyBorder="1" applyAlignment="1">
      <alignment/>
    </xf>
    <xf numFmtId="2" fontId="0" fillId="53" borderId="0" xfId="0" applyNumberFormat="1" applyFill="1" applyBorder="1" applyAlignment="1" applyProtection="1">
      <alignment horizontal="right"/>
      <protection/>
    </xf>
    <xf numFmtId="4" fontId="0" fillId="53" borderId="0" xfId="0" applyNumberFormat="1" applyFill="1" applyBorder="1" applyAlignment="1" applyProtection="1">
      <alignment horizontal="center"/>
      <protection/>
    </xf>
    <xf numFmtId="2" fontId="15" fillId="54" borderId="0" xfId="0" applyNumberFormat="1" applyFont="1" applyFill="1" applyBorder="1" applyAlignment="1" applyProtection="1">
      <alignment/>
      <protection/>
    </xf>
    <xf numFmtId="2" fontId="10" fillId="54" borderId="0" xfId="0" applyNumberFormat="1" applyFont="1" applyFill="1" applyBorder="1" applyAlignment="1" applyProtection="1">
      <alignment/>
      <protection/>
    </xf>
    <xf numFmtId="2" fontId="9" fillId="54" borderId="0" xfId="0" applyNumberFormat="1" applyFont="1" applyFill="1" applyBorder="1" applyAlignment="1" applyProtection="1">
      <alignment/>
      <protection/>
    </xf>
    <xf numFmtId="2" fontId="51" fillId="41" borderId="0" xfId="0" applyNumberFormat="1" applyFont="1" applyFill="1" applyAlignment="1" applyProtection="1">
      <alignment horizontal="right"/>
      <protection/>
    </xf>
    <xf numFmtId="2" fontId="13" fillId="49" borderId="0" xfId="0" applyNumberFormat="1" applyFont="1" applyFill="1" applyAlignment="1" applyProtection="1">
      <alignment/>
      <protection locked="0"/>
    </xf>
    <xf numFmtId="2" fontId="13" fillId="50" borderId="0" xfId="0" applyNumberFormat="1" applyFont="1" applyFill="1" applyAlignment="1" applyProtection="1">
      <alignment/>
      <protection/>
    </xf>
    <xf numFmtId="2" fontId="4" fillId="55" borderId="0" xfId="0" applyNumberFormat="1" applyFont="1" applyFill="1" applyBorder="1" applyAlignment="1" applyProtection="1">
      <alignment horizontal="center"/>
      <protection/>
    </xf>
    <xf numFmtId="2" fontId="5" fillId="55" borderId="0" xfId="0" applyNumberFormat="1" applyFont="1" applyFill="1" applyBorder="1" applyAlignment="1" applyProtection="1">
      <alignment/>
      <protection/>
    </xf>
    <xf numFmtId="2" fontId="4" fillId="55" borderId="29" xfId="0" applyNumberFormat="1" applyFont="1" applyFill="1" applyBorder="1" applyAlignment="1" applyProtection="1">
      <alignment horizontal="center"/>
      <protection/>
    </xf>
    <xf numFmtId="10" fontId="5" fillId="55" borderId="0" xfId="0" applyNumberFormat="1" applyFont="1" applyFill="1" applyBorder="1" applyAlignment="1" applyProtection="1">
      <alignment horizontal="center"/>
      <protection/>
    </xf>
    <xf numFmtId="10" fontId="5" fillId="55" borderId="29" xfId="0" applyNumberFormat="1" applyFont="1" applyFill="1" applyBorder="1" applyAlignment="1" applyProtection="1">
      <alignment horizontal="center"/>
      <protection/>
    </xf>
    <xf numFmtId="37" fontId="5" fillId="55" borderId="0" xfId="42" applyNumberFormat="1" applyFont="1" applyFill="1" applyBorder="1" applyAlignment="1" applyProtection="1">
      <alignment horizontal="center"/>
      <protection/>
    </xf>
    <xf numFmtId="177" fontId="5" fillId="55" borderId="0" xfId="42" applyNumberFormat="1" applyFont="1" applyFill="1" applyBorder="1" applyAlignment="1" applyProtection="1">
      <alignment horizontal="right"/>
      <protection/>
    </xf>
    <xf numFmtId="2" fontId="5" fillId="55" borderId="26" xfId="0" applyNumberFormat="1" applyFont="1" applyFill="1" applyBorder="1" applyAlignment="1" applyProtection="1">
      <alignment horizontal="center"/>
      <protection/>
    </xf>
    <xf numFmtId="9" fontId="5" fillId="55" borderId="34" xfId="0" applyNumberFormat="1" applyFont="1" applyFill="1" applyBorder="1" applyAlignment="1" applyProtection="1">
      <alignment horizontal="center"/>
      <protection/>
    </xf>
    <xf numFmtId="2" fontId="5" fillId="55" borderId="31" xfId="0" applyNumberFormat="1" applyFont="1" applyFill="1" applyBorder="1" applyAlignment="1" applyProtection="1">
      <alignment horizontal="center"/>
      <protection/>
    </xf>
    <xf numFmtId="3" fontId="5" fillId="55" borderId="32" xfId="0" applyNumberFormat="1" applyFont="1" applyFill="1" applyBorder="1" applyAlignment="1" applyProtection="1">
      <alignment horizontal="center"/>
      <protection/>
    </xf>
    <xf numFmtId="2" fontId="5" fillId="55" borderId="32" xfId="0" applyNumberFormat="1" applyFont="1" applyFill="1" applyBorder="1" applyAlignment="1" applyProtection="1">
      <alignment horizontal="center"/>
      <protection/>
    </xf>
    <xf numFmtId="9" fontId="5" fillId="55" borderId="47" xfId="0" applyNumberFormat="1" applyFont="1" applyFill="1" applyBorder="1" applyAlignment="1" applyProtection="1">
      <alignment horizontal="center"/>
      <protection/>
    </xf>
    <xf numFmtId="9" fontId="5" fillId="55" borderId="0" xfId="0" applyNumberFormat="1" applyFont="1" applyFill="1" applyBorder="1" applyAlignment="1" applyProtection="1">
      <alignment horizontal="center"/>
      <protection/>
    </xf>
    <xf numFmtId="2" fontId="0" fillId="47" borderId="28" xfId="0" applyNumberFormat="1" applyFill="1" applyBorder="1" applyAlignment="1" applyProtection="1">
      <alignment/>
      <protection/>
    </xf>
    <xf numFmtId="9" fontId="5" fillId="55" borderId="29" xfId="0" applyNumberFormat="1" applyFont="1" applyFill="1" applyBorder="1" applyAlignment="1" applyProtection="1">
      <alignment horizontal="center"/>
      <protection/>
    </xf>
    <xf numFmtId="2" fontId="0" fillId="47" borderId="29" xfId="0" applyNumberFormat="1" applyFill="1" applyBorder="1" applyAlignment="1" applyProtection="1">
      <alignment horizontal="left"/>
      <protection/>
    </xf>
    <xf numFmtId="10" fontId="5" fillId="55" borderId="50" xfId="0" applyNumberFormat="1" applyFont="1" applyFill="1" applyBorder="1" applyAlignment="1" applyProtection="1">
      <alignment horizontal="center"/>
      <protection/>
    </xf>
    <xf numFmtId="2" fontId="5" fillId="55" borderId="0" xfId="0" applyNumberFormat="1" applyFont="1" applyFill="1" applyBorder="1" applyAlignment="1" applyProtection="1">
      <alignment horizontal="right"/>
      <protection/>
    </xf>
    <xf numFmtId="9" fontId="5" fillId="56" borderId="29" xfId="0" applyNumberFormat="1" applyFont="1" applyFill="1" applyBorder="1" applyAlignment="1" applyProtection="1">
      <alignment horizontal="center"/>
      <protection/>
    </xf>
    <xf numFmtId="2" fontId="5" fillId="55" borderId="26" xfId="0" applyNumberFormat="1" applyFont="1" applyFill="1" applyBorder="1" applyAlignment="1" applyProtection="1">
      <alignment horizontal="center"/>
      <protection/>
    </xf>
    <xf numFmtId="9" fontId="5" fillId="55" borderId="34" xfId="0" applyNumberFormat="1" applyFont="1" applyFill="1" applyBorder="1" applyAlignment="1" applyProtection="1">
      <alignment horizontal="center"/>
      <protection/>
    </xf>
    <xf numFmtId="2" fontId="4" fillId="55" borderId="0" xfId="0" applyNumberFormat="1" applyFont="1" applyFill="1" applyBorder="1" applyAlignment="1" applyProtection="1">
      <alignment horizontal="center"/>
      <protection/>
    </xf>
    <xf numFmtId="10" fontId="5" fillId="55" borderId="0" xfId="0" applyNumberFormat="1" applyFont="1" applyFill="1" applyBorder="1" applyAlignment="1" applyProtection="1">
      <alignment horizontal="center"/>
      <protection/>
    </xf>
    <xf numFmtId="4" fontId="4" fillId="55" borderId="0" xfId="0" applyNumberFormat="1" applyFont="1" applyFill="1" applyBorder="1" applyAlignment="1" applyProtection="1">
      <alignment horizontal="center"/>
      <protection/>
    </xf>
    <xf numFmtId="10" fontId="4" fillId="55" borderId="15" xfId="0" applyNumberFormat="1" applyFont="1" applyFill="1" applyBorder="1" applyAlignment="1" applyProtection="1">
      <alignment horizontal="center"/>
      <protection/>
    </xf>
    <xf numFmtId="3" fontId="5" fillId="55" borderId="29" xfId="0" applyNumberFormat="1" applyFont="1" applyFill="1" applyBorder="1" applyAlignment="1" applyProtection="1">
      <alignment horizontal="center"/>
      <protection/>
    </xf>
    <xf numFmtId="172" fontId="4" fillId="55" borderId="0" xfId="0" applyNumberFormat="1" applyFont="1" applyFill="1" applyBorder="1" applyAlignment="1" applyProtection="1">
      <alignment horizontal="center"/>
      <protection/>
    </xf>
    <xf numFmtId="10" fontId="4" fillId="55" borderId="26" xfId="0" applyNumberFormat="1" applyFont="1" applyFill="1" applyBorder="1" applyAlignment="1" applyProtection="1">
      <alignment horizontal="center"/>
      <protection/>
    </xf>
    <xf numFmtId="10" fontId="4" fillId="55" borderId="34" xfId="0" applyNumberFormat="1" applyFont="1" applyFill="1" applyBorder="1" applyAlignment="1" applyProtection="1">
      <alignment horizontal="center"/>
      <protection/>
    </xf>
    <xf numFmtId="2" fontId="4" fillId="55" borderId="42" xfId="0" applyNumberFormat="1" applyFont="1" applyFill="1" applyBorder="1" applyAlignment="1" applyProtection="1">
      <alignment horizontal="center"/>
      <protection/>
    </xf>
    <xf numFmtId="174" fontId="4" fillId="55" borderId="15" xfId="0" applyNumberFormat="1" applyFont="1" applyFill="1" applyBorder="1" applyAlignment="1" applyProtection="1">
      <alignment/>
      <protection/>
    </xf>
    <xf numFmtId="175" fontId="4" fillId="55" borderId="22" xfId="0" applyNumberFormat="1" applyFont="1" applyFill="1" applyBorder="1" applyAlignment="1" applyProtection="1">
      <alignment/>
      <protection/>
    </xf>
    <xf numFmtId="175" fontId="4" fillId="55" borderId="40" xfId="0" applyNumberFormat="1" applyFont="1" applyFill="1" applyBorder="1" applyAlignment="1" applyProtection="1">
      <alignment/>
      <protection/>
    </xf>
    <xf numFmtId="174" fontId="4" fillId="55" borderId="22" xfId="0" applyNumberFormat="1" applyFont="1" applyFill="1" applyBorder="1" applyAlignment="1" applyProtection="1">
      <alignment/>
      <protection/>
    </xf>
    <xf numFmtId="174" fontId="4" fillId="55" borderId="43" xfId="0" applyNumberFormat="1" applyFont="1" applyFill="1" applyBorder="1" applyAlignment="1" applyProtection="1">
      <alignment/>
      <protection/>
    </xf>
    <xf numFmtId="174" fontId="4" fillId="55" borderId="44" xfId="0" applyNumberFormat="1" applyFont="1" applyFill="1" applyBorder="1" applyAlignment="1" applyProtection="1">
      <alignment horizontal="center"/>
      <protection/>
    </xf>
    <xf numFmtId="174" fontId="4" fillId="55" borderId="45" xfId="0" applyNumberFormat="1" applyFont="1" applyFill="1" applyBorder="1" applyAlignment="1" applyProtection="1">
      <alignment horizontal="center"/>
      <protection/>
    </xf>
    <xf numFmtId="172" fontId="4" fillId="55" borderId="42" xfId="0" applyNumberFormat="1" applyFont="1" applyFill="1" applyBorder="1" applyAlignment="1" applyProtection="1">
      <alignment horizontal="center"/>
      <protection/>
    </xf>
    <xf numFmtId="174" fontId="4" fillId="55" borderId="31" xfId="0" applyNumberFormat="1" applyFont="1" applyFill="1" applyBorder="1" applyAlignment="1" applyProtection="1">
      <alignment/>
      <protection/>
    </xf>
    <xf numFmtId="174" fontId="4" fillId="55" borderId="47" xfId="0" applyNumberFormat="1" applyFont="1" applyFill="1" applyBorder="1" applyAlignment="1" applyProtection="1">
      <alignment/>
      <protection/>
    </xf>
    <xf numFmtId="174" fontId="4" fillId="55" borderId="35" xfId="0" applyNumberFormat="1" applyFont="1" applyFill="1" applyBorder="1" applyAlignment="1" applyProtection="1">
      <alignment horizontal="center"/>
      <protection/>
    </xf>
    <xf numFmtId="174" fontId="4" fillId="55" borderId="46" xfId="0" applyNumberFormat="1" applyFont="1" applyFill="1" applyBorder="1" applyAlignment="1" applyProtection="1">
      <alignment horizontal="center"/>
      <protection/>
    </xf>
    <xf numFmtId="176" fontId="4" fillId="55" borderId="42" xfId="0" applyNumberFormat="1" applyFont="1" applyFill="1" applyBorder="1" applyAlignment="1" applyProtection="1">
      <alignment/>
      <protection/>
    </xf>
    <xf numFmtId="2" fontId="4" fillId="55" borderId="47" xfId="0" applyNumberFormat="1" applyFont="1" applyFill="1" applyBorder="1" applyAlignment="1" applyProtection="1">
      <alignment horizontal="center"/>
      <protection/>
    </xf>
    <xf numFmtId="175" fontId="4" fillId="55" borderId="42" xfId="0" applyNumberFormat="1" applyFont="1" applyFill="1" applyBorder="1" applyAlignment="1" applyProtection="1">
      <alignment horizontal="center"/>
      <protection/>
    </xf>
    <xf numFmtId="175" fontId="4" fillId="55" borderId="47" xfId="0" applyNumberFormat="1" applyFont="1" applyFill="1" applyBorder="1" applyAlignment="1" applyProtection="1">
      <alignment horizontal="center"/>
      <protection/>
    </xf>
    <xf numFmtId="4" fontId="5" fillId="55" borderId="42" xfId="0" applyNumberFormat="1" applyFont="1" applyFill="1" applyBorder="1" applyAlignment="1" applyProtection="1">
      <alignment horizontal="center"/>
      <protection/>
    </xf>
    <xf numFmtId="173" fontId="4" fillId="55" borderId="31" xfId="0" applyNumberFormat="1" applyFont="1" applyFill="1" applyBorder="1" applyAlignment="1" applyProtection="1">
      <alignment/>
      <protection/>
    </xf>
    <xf numFmtId="176" fontId="4" fillId="55" borderId="47" xfId="0" applyNumberFormat="1" applyFont="1" applyFill="1" applyBorder="1" applyAlignment="1" applyProtection="1">
      <alignment/>
      <protection/>
    </xf>
    <xf numFmtId="4" fontId="4" fillId="55" borderId="42" xfId="0" applyNumberFormat="1" applyFont="1" applyFill="1" applyBorder="1" applyAlignment="1" applyProtection="1">
      <alignment horizontal="center"/>
      <protection/>
    </xf>
    <xf numFmtId="181" fontId="7" fillId="48" borderId="0" xfId="0" applyNumberFormat="1" applyFont="1" applyFill="1" applyBorder="1" applyAlignment="1" applyProtection="1">
      <alignment horizontal="center"/>
      <protection locked="0"/>
    </xf>
    <xf numFmtId="3" fontId="7" fillId="46" borderId="0" xfId="0" applyNumberFormat="1" applyFont="1" applyFill="1" applyBorder="1" applyAlignment="1" applyProtection="1">
      <alignment horizontal="center"/>
      <protection locked="0"/>
    </xf>
    <xf numFmtId="2" fontId="7" fillId="46" borderId="32" xfId="0" applyNumberFormat="1" applyFont="1" applyFill="1" applyBorder="1" applyAlignment="1" applyProtection="1">
      <alignment horizontal="center"/>
      <protection locked="0"/>
    </xf>
    <xf numFmtId="1" fontId="7" fillId="46" borderId="0" xfId="0" applyNumberFormat="1" applyFont="1" applyFill="1" applyBorder="1" applyAlignment="1" applyProtection="1">
      <alignment horizontal="center"/>
      <protection locked="0"/>
    </xf>
    <xf numFmtId="176" fontId="7" fillId="46" borderId="24" xfId="0" applyNumberFormat="1" applyFont="1" applyFill="1" applyBorder="1" applyAlignment="1" applyProtection="1">
      <alignment/>
      <protection locked="0"/>
    </xf>
    <xf numFmtId="172" fontId="7" fillId="46" borderId="22" xfId="0" applyNumberFormat="1" applyFont="1" applyFill="1" applyBorder="1" applyAlignment="1" applyProtection="1">
      <alignment horizontal="center"/>
      <protection locked="0"/>
    </xf>
    <xf numFmtId="175" fontId="7" fillId="46" borderId="23" xfId="0" applyNumberFormat="1" applyFont="1" applyFill="1" applyBorder="1" applyAlignment="1" applyProtection="1">
      <alignment horizontal="center"/>
      <protection locked="0"/>
    </xf>
    <xf numFmtId="1" fontId="7" fillId="46" borderId="40" xfId="0" applyNumberFormat="1" applyFont="1" applyFill="1" applyBorder="1" applyAlignment="1" applyProtection="1">
      <alignment horizontal="center"/>
      <protection locked="0"/>
    </xf>
    <xf numFmtId="174" fontId="7" fillId="46" borderId="24" xfId="0" applyNumberFormat="1" applyFont="1" applyFill="1" applyBorder="1" applyAlignment="1" applyProtection="1">
      <alignment horizontal="center"/>
      <protection locked="0"/>
    </xf>
    <xf numFmtId="174" fontId="7" fillId="46" borderId="39" xfId="0" applyNumberFormat="1" applyFont="1" applyFill="1" applyBorder="1" applyAlignment="1" applyProtection="1">
      <alignment horizontal="center"/>
      <protection locked="0"/>
    </xf>
    <xf numFmtId="174" fontId="7" fillId="46" borderId="34" xfId="0" applyNumberFormat="1" applyFont="1" applyFill="1" applyBorder="1" applyAlignment="1" applyProtection="1">
      <alignment horizontal="center"/>
      <protection locked="0"/>
    </xf>
    <xf numFmtId="2" fontId="7" fillId="46" borderId="15" xfId="0" applyNumberFormat="1" applyFont="1" applyFill="1" applyBorder="1" applyAlignment="1" applyProtection="1">
      <alignment horizontal="center"/>
      <protection locked="0"/>
    </xf>
    <xf numFmtId="173" fontId="7" fillId="46" borderId="24" xfId="0" applyNumberFormat="1" applyFont="1" applyFill="1" applyBorder="1" applyAlignment="1" applyProtection="1">
      <alignment horizontal="center"/>
      <protection locked="0"/>
    </xf>
    <xf numFmtId="173" fontId="7" fillId="46" borderId="39" xfId="0" applyNumberFormat="1" applyFont="1" applyFill="1" applyBorder="1" applyAlignment="1" applyProtection="1">
      <alignment horizontal="center"/>
      <protection locked="0"/>
    </xf>
    <xf numFmtId="2" fontId="7" fillId="46" borderId="34" xfId="0" applyNumberFormat="1" applyFont="1" applyFill="1" applyBorder="1" applyAlignment="1" applyProtection="1">
      <alignment horizontal="center"/>
      <protection locked="0"/>
    </xf>
    <xf numFmtId="2" fontId="7" fillId="46" borderId="26" xfId="0" applyNumberFormat="1" applyFont="1" applyFill="1" applyBorder="1" applyAlignment="1" applyProtection="1">
      <alignment horizontal="center"/>
      <protection locked="0"/>
    </xf>
    <xf numFmtId="177" fontId="7" fillId="46" borderId="0" xfId="42" applyNumberFormat="1" applyFont="1" applyFill="1" applyBorder="1" applyAlignment="1" applyProtection="1">
      <alignment horizontal="right"/>
      <protection locked="0"/>
    </xf>
    <xf numFmtId="177" fontId="7" fillId="46" borderId="55" xfId="42" applyNumberFormat="1" applyFont="1" applyFill="1" applyBorder="1" applyAlignment="1" applyProtection="1">
      <alignment horizontal="right"/>
      <protection locked="0"/>
    </xf>
    <xf numFmtId="2" fontId="14" fillId="33" borderId="0" xfId="0" applyNumberFormat="1" applyFont="1" applyFill="1" applyAlignment="1" applyProtection="1">
      <alignment/>
      <protection/>
    </xf>
    <xf numFmtId="2" fontId="52" fillId="48" borderId="0" xfId="0" applyNumberFormat="1" applyFont="1" applyFill="1" applyAlignment="1" applyProtection="1">
      <alignment/>
      <protection/>
    </xf>
    <xf numFmtId="10" fontId="7" fillId="48" borderId="0" xfId="0" applyNumberFormat="1" applyFont="1" applyFill="1" applyBorder="1" applyAlignment="1" applyProtection="1">
      <alignment horizontal="center"/>
      <protection locked="0"/>
    </xf>
    <xf numFmtId="175" fontId="7" fillId="48" borderId="52" xfId="0" applyNumberFormat="1" applyFont="1" applyFill="1" applyBorder="1" applyAlignment="1" applyProtection="1">
      <alignment horizontal="left"/>
      <protection locked="0"/>
    </xf>
    <xf numFmtId="2" fontId="7" fillId="41" borderId="11" xfId="0" applyNumberFormat="1" applyFont="1" applyFill="1" applyBorder="1" applyAlignment="1" applyProtection="1">
      <alignment/>
      <protection/>
    </xf>
    <xf numFmtId="2" fontId="6" fillId="41" borderId="18" xfId="0" applyNumberFormat="1" applyFont="1" applyFill="1" applyBorder="1" applyAlignment="1" applyProtection="1">
      <alignment/>
      <protection/>
    </xf>
    <xf numFmtId="2" fontId="0" fillId="41" borderId="12" xfId="0" applyNumberFormat="1" applyFill="1" applyBorder="1" applyAlignment="1" applyProtection="1">
      <alignment/>
      <protection/>
    </xf>
    <xf numFmtId="2" fontId="6" fillId="41" borderId="30" xfId="0" applyNumberFormat="1" applyFont="1" applyFill="1" applyBorder="1" applyAlignment="1" applyProtection="1">
      <alignment/>
      <protection/>
    </xf>
    <xf numFmtId="2" fontId="7" fillId="41" borderId="24" xfId="0" applyNumberFormat="1" applyFont="1" applyFill="1" applyBorder="1" applyAlignment="1" applyProtection="1">
      <alignment/>
      <protection/>
    </xf>
    <xf numFmtId="2" fontId="0" fillId="41" borderId="24" xfId="0" applyNumberFormat="1" applyFill="1" applyBorder="1" applyAlignment="1" applyProtection="1">
      <alignment/>
      <protection/>
    </xf>
    <xf numFmtId="2" fontId="0" fillId="41" borderId="25" xfId="0" applyNumberFormat="1" applyFill="1" applyBorder="1" applyAlignment="1" applyProtection="1">
      <alignment/>
      <protection/>
    </xf>
    <xf numFmtId="2" fontId="0" fillId="41" borderId="0" xfId="0" applyNumberFormat="1" applyFill="1" applyBorder="1" applyAlignment="1" applyProtection="1">
      <alignment horizontal="center"/>
      <protection/>
    </xf>
    <xf numFmtId="2" fontId="0" fillId="41" borderId="0" xfId="0" applyNumberFormat="1" applyFill="1" applyBorder="1" applyAlignment="1" applyProtection="1">
      <alignment horizontal="right"/>
      <protection/>
    </xf>
    <xf numFmtId="2" fontId="0" fillId="41" borderId="29" xfId="0" applyNumberFormat="1" applyFill="1" applyBorder="1" applyAlignment="1" applyProtection="1">
      <alignment/>
      <protection/>
    </xf>
    <xf numFmtId="2" fontId="0" fillId="41" borderId="29" xfId="0" applyNumberFormat="1" applyFill="1" applyBorder="1" applyAlignment="1" applyProtection="1">
      <alignment horizontal="left"/>
      <protection/>
    </xf>
    <xf numFmtId="2" fontId="0" fillId="41" borderId="26" xfId="0" applyNumberFormat="1" applyFill="1" applyBorder="1" applyAlignment="1" applyProtection="1" quotePrefix="1">
      <alignment/>
      <protection/>
    </xf>
    <xf numFmtId="2" fontId="0" fillId="41" borderId="26" xfId="0" applyNumberFormat="1" applyFill="1" applyBorder="1" applyAlignment="1" applyProtection="1">
      <alignment/>
      <protection/>
    </xf>
    <xf numFmtId="2" fontId="15" fillId="41" borderId="0" xfId="0" applyNumberFormat="1" applyFont="1" applyFill="1" applyBorder="1" applyAlignment="1" applyProtection="1">
      <alignment horizontal="right"/>
      <protection/>
    </xf>
    <xf numFmtId="2" fontId="10" fillId="41" borderId="29" xfId="0" applyNumberFormat="1" applyFont="1" applyFill="1" applyBorder="1" applyAlignment="1" applyProtection="1">
      <alignment horizontal="right"/>
      <protection/>
    </xf>
    <xf numFmtId="2" fontId="6" fillId="41" borderId="27" xfId="0" applyNumberFormat="1" applyFont="1" applyFill="1" applyBorder="1" applyAlignment="1" applyProtection="1">
      <alignment/>
      <protection/>
    </xf>
    <xf numFmtId="2" fontId="7" fillId="41" borderId="27" xfId="0" applyNumberFormat="1" applyFont="1" applyFill="1" applyBorder="1" applyAlignment="1" applyProtection="1">
      <alignment horizontal="right"/>
      <protection/>
    </xf>
    <xf numFmtId="2" fontId="7" fillId="41" borderId="28" xfId="0" applyNumberFormat="1" applyFont="1" applyFill="1" applyBorder="1" applyAlignment="1" applyProtection="1">
      <alignment horizontal="right"/>
      <protection/>
    </xf>
    <xf numFmtId="2" fontId="9" fillId="41" borderId="27" xfId="0" applyNumberFormat="1" applyFont="1" applyFill="1" applyBorder="1" applyAlignment="1" applyProtection="1">
      <alignment/>
      <protection/>
    </xf>
    <xf numFmtId="2" fontId="0" fillId="41" borderId="27" xfId="0" applyNumberFormat="1" applyFill="1" applyBorder="1" applyAlignment="1" applyProtection="1">
      <alignment/>
      <protection/>
    </xf>
    <xf numFmtId="2" fontId="7" fillId="41" borderId="27" xfId="0" applyNumberFormat="1" applyFont="1" applyFill="1" applyBorder="1" applyAlignment="1" applyProtection="1">
      <alignment/>
      <protection/>
    </xf>
    <xf numFmtId="2" fontId="8" fillId="41" borderId="49" xfId="0" applyNumberFormat="1" applyFont="1" applyFill="1" applyBorder="1" applyAlignment="1" applyProtection="1">
      <alignment/>
      <protection/>
    </xf>
    <xf numFmtId="2" fontId="10" fillId="41" borderId="27" xfId="0" applyNumberFormat="1" applyFont="1" applyFill="1" applyBorder="1" applyAlignment="1" applyProtection="1">
      <alignment/>
      <protection/>
    </xf>
    <xf numFmtId="2" fontId="3" fillId="41" borderId="27" xfId="0" applyNumberFormat="1" applyFont="1" applyFill="1" applyBorder="1" applyAlignment="1" applyProtection="1">
      <alignment/>
      <protection/>
    </xf>
    <xf numFmtId="2" fontId="0" fillId="41" borderId="28" xfId="0" applyNumberFormat="1" applyFill="1" applyBorder="1" applyAlignment="1" applyProtection="1">
      <alignment/>
      <protection/>
    </xf>
    <xf numFmtId="173" fontId="0" fillId="41" borderId="0" xfId="0" applyNumberFormat="1" applyFill="1" applyBorder="1" applyAlignment="1" applyProtection="1">
      <alignment/>
      <protection/>
    </xf>
    <xf numFmtId="2" fontId="0" fillId="41" borderId="54" xfId="0" applyNumberFormat="1" applyFill="1" applyBorder="1" applyAlignment="1" applyProtection="1">
      <alignment/>
      <protection/>
    </xf>
    <xf numFmtId="2" fontId="10" fillId="41" borderId="0" xfId="0" applyNumberFormat="1" applyFont="1" applyFill="1" applyBorder="1" applyAlignment="1" applyProtection="1">
      <alignment horizontal="right"/>
      <protection/>
    </xf>
    <xf numFmtId="2" fontId="9" fillId="41" borderId="0" xfId="0" applyNumberFormat="1" applyFont="1" applyFill="1" applyBorder="1" applyAlignment="1" applyProtection="1">
      <alignment horizontal="right"/>
      <protection/>
    </xf>
    <xf numFmtId="2" fontId="7" fillId="41" borderId="0" xfId="0" applyNumberFormat="1" applyFont="1" applyFill="1" applyBorder="1" applyAlignment="1" applyProtection="1">
      <alignment horizontal="right"/>
      <protection/>
    </xf>
    <xf numFmtId="2" fontId="0" fillId="41" borderId="50" xfId="0" applyNumberFormat="1" applyFill="1" applyBorder="1" applyAlignment="1" applyProtection="1">
      <alignment/>
      <protection/>
    </xf>
    <xf numFmtId="2" fontId="6" fillId="41" borderId="24" xfId="0" applyNumberFormat="1" applyFont="1" applyFill="1" applyBorder="1" applyAlignment="1" applyProtection="1">
      <alignment/>
      <protection/>
    </xf>
    <xf numFmtId="2" fontId="6" fillId="41" borderId="0" xfId="0" applyNumberFormat="1" applyFont="1" applyFill="1" applyBorder="1" applyAlignment="1" applyProtection="1">
      <alignment/>
      <protection/>
    </xf>
    <xf numFmtId="2" fontId="6" fillId="41" borderId="0" xfId="0" applyNumberFormat="1" applyFont="1" applyFill="1" applyBorder="1" applyAlignment="1" applyProtection="1">
      <alignment horizontal="right"/>
      <protection/>
    </xf>
    <xf numFmtId="2" fontId="6" fillId="41" borderId="29" xfId="0" applyNumberFormat="1" applyFont="1" applyFill="1" applyBorder="1" applyAlignment="1" applyProtection="1">
      <alignment horizontal="left"/>
      <protection/>
    </xf>
    <xf numFmtId="2" fontId="8" fillId="57" borderId="49" xfId="0" applyNumberFormat="1" applyFont="1" applyFill="1" applyBorder="1" applyAlignment="1" applyProtection="1">
      <alignment/>
      <protection/>
    </xf>
    <xf numFmtId="2" fontId="0" fillId="57" borderId="50" xfId="0" applyNumberFormat="1" applyFill="1" applyBorder="1" applyAlignment="1" applyProtection="1">
      <alignment/>
      <protection/>
    </xf>
    <xf numFmtId="2" fontId="0" fillId="58" borderId="27" xfId="0" applyNumberFormat="1" applyFill="1" applyBorder="1" applyAlignment="1" applyProtection="1">
      <alignment horizontal="right"/>
      <protection/>
    </xf>
    <xf numFmtId="2" fontId="0" fillId="58" borderId="0" xfId="0" applyNumberFormat="1" applyFill="1" applyBorder="1" applyAlignment="1" applyProtection="1">
      <alignment/>
      <protection/>
    </xf>
    <xf numFmtId="2" fontId="0" fillId="57" borderId="48" xfId="0" applyNumberFormat="1" applyFill="1" applyBorder="1" applyAlignment="1" applyProtection="1">
      <alignment/>
      <protection/>
    </xf>
    <xf numFmtId="2" fontId="0" fillId="58" borderId="26" xfId="0" applyNumberFormat="1" applyFill="1" applyBorder="1" applyAlignment="1" applyProtection="1">
      <alignment/>
      <protection/>
    </xf>
    <xf numFmtId="2" fontId="0" fillId="58" borderId="0" xfId="0" applyNumberFormat="1" applyFill="1" applyBorder="1" applyAlignment="1" applyProtection="1">
      <alignment horizontal="center"/>
      <protection/>
    </xf>
    <xf numFmtId="2" fontId="0" fillId="58" borderId="0" xfId="0" applyNumberFormat="1" applyFill="1" applyBorder="1" applyAlignment="1" applyProtection="1">
      <alignment horizontal="right"/>
      <protection/>
    </xf>
    <xf numFmtId="2" fontId="0" fillId="58" borderId="29" xfId="0" applyNumberFormat="1" applyFill="1" applyBorder="1" applyAlignment="1" applyProtection="1">
      <alignment/>
      <protection/>
    </xf>
    <xf numFmtId="2" fontId="0" fillId="58" borderId="29" xfId="0" applyNumberFormat="1" applyFill="1" applyBorder="1" applyAlignment="1" applyProtection="1">
      <alignment/>
      <protection/>
    </xf>
    <xf numFmtId="2" fontId="15" fillId="57" borderId="0" xfId="0" applyNumberFormat="1" applyFont="1" applyFill="1" applyBorder="1" applyAlignment="1" applyProtection="1">
      <alignment/>
      <protection/>
    </xf>
    <xf numFmtId="2" fontId="10" fillId="57" borderId="0" xfId="0" applyNumberFormat="1" applyFont="1" applyFill="1" applyBorder="1" applyAlignment="1" applyProtection="1">
      <alignment/>
      <protection/>
    </xf>
    <xf numFmtId="2" fontId="9" fillId="57" borderId="0" xfId="0" applyNumberFormat="1" applyFont="1" applyFill="1" applyBorder="1" applyAlignment="1" applyProtection="1">
      <alignment/>
      <protection/>
    </xf>
    <xf numFmtId="2" fontId="6" fillId="58" borderId="29" xfId="0" applyNumberFormat="1" applyFont="1" applyFill="1" applyBorder="1" applyAlignment="1" applyProtection="1">
      <alignment/>
      <protection/>
    </xf>
    <xf numFmtId="4" fontId="0" fillId="58" borderId="0" xfId="0" applyNumberFormat="1" applyFill="1" applyBorder="1" applyAlignment="1" applyProtection="1">
      <alignment horizontal="center"/>
      <protection/>
    </xf>
    <xf numFmtId="2" fontId="0" fillId="58" borderId="28" xfId="0" applyNumberFormat="1" applyFill="1" applyBorder="1" applyAlignment="1" applyProtection="1">
      <alignment horizontal="right"/>
      <protection/>
    </xf>
    <xf numFmtId="2" fontId="14" fillId="41" borderId="49" xfId="0" applyNumberFormat="1" applyFont="1" applyFill="1" applyBorder="1" applyAlignment="1" applyProtection="1">
      <alignment/>
      <protection/>
    </xf>
    <xf numFmtId="2" fontId="0" fillId="41" borderId="48" xfId="0" applyNumberFormat="1" applyFill="1" applyBorder="1" applyAlignment="1" applyProtection="1">
      <alignment/>
      <protection/>
    </xf>
    <xf numFmtId="2" fontId="9" fillId="41" borderId="27" xfId="0" applyNumberFormat="1" applyFont="1" applyFill="1" applyBorder="1" applyAlignment="1" applyProtection="1">
      <alignment horizontal="right"/>
      <protection/>
    </xf>
    <xf numFmtId="2" fontId="0" fillId="41" borderId="34" xfId="0" applyNumberFormat="1" applyFill="1" applyBorder="1" applyAlignment="1" applyProtection="1">
      <alignment/>
      <protection/>
    </xf>
    <xf numFmtId="10" fontId="5" fillId="55" borderId="26" xfId="0" applyNumberFormat="1" applyFont="1" applyFill="1" applyBorder="1" applyAlignment="1" applyProtection="1">
      <alignment horizontal="center"/>
      <protection/>
    </xf>
    <xf numFmtId="2" fontId="7" fillId="41" borderId="51" xfId="0" applyNumberFormat="1" applyFont="1" applyFill="1" applyBorder="1" applyAlignment="1" applyProtection="1">
      <alignment/>
      <protection/>
    </xf>
    <xf numFmtId="2" fontId="6" fillId="41" borderId="48" xfId="0" applyNumberFormat="1" applyFont="1" applyFill="1" applyBorder="1" applyAlignment="1" applyProtection="1">
      <alignment/>
      <protection/>
    </xf>
    <xf numFmtId="2" fontId="7" fillId="41" borderId="22" xfId="0" applyNumberFormat="1" applyFont="1" applyFill="1" applyBorder="1" applyAlignment="1" applyProtection="1">
      <alignment horizontal="center"/>
      <protection/>
    </xf>
    <xf numFmtId="2" fontId="49" fillId="41" borderId="26" xfId="0" applyNumberFormat="1" applyFont="1" applyFill="1" applyBorder="1" applyAlignment="1" applyProtection="1">
      <alignment horizontal="center"/>
      <protection/>
    </xf>
    <xf numFmtId="9" fontId="6" fillId="59" borderId="23" xfId="0" applyNumberFormat="1" applyFont="1" applyFill="1" applyBorder="1" applyAlignment="1" applyProtection="1">
      <alignment horizontal="center"/>
      <protection/>
    </xf>
    <xf numFmtId="9" fontId="6" fillId="59" borderId="43" xfId="0" applyNumberFormat="1" applyFont="1" applyFill="1" applyBorder="1" applyAlignment="1" applyProtection="1">
      <alignment horizontal="center"/>
      <protection/>
    </xf>
    <xf numFmtId="2" fontId="6" fillId="41" borderId="0" xfId="0" applyNumberFormat="1" applyFont="1" applyFill="1" applyBorder="1" applyAlignment="1" applyProtection="1">
      <alignment/>
      <protection/>
    </xf>
    <xf numFmtId="2" fontId="8" fillId="41" borderId="49" xfId="0" applyNumberFormat="1" applyFont="1" applyFill="1" applyBorder="1" applyAlignment="1" applyProtection="1">
      <alignment/>
      <protection/>
    </xf>
    <xf numFmtId="2" fontId="6" fillId="41" borderId="50" xfId="0" applyNumberFormat="1" applyFont="1" applyFill="1" applyBorder="1" applyAlignment="1" applyProtection="1">
      <alignment/>
      <protection/>
    </xf>
    <xf numFmtId="2" fontId="6" fillId="41" borderId="0" xfId="0" applyNumberFormat="1" applyFont="1" applyFill="1" applyBorder="1" applyAlignment="1" applyProtection="1">
      <alignment horizontal="right"/>
      <protection/>
    </xf>
    <xf numFmtId="2" fontId="7" fillId="41" borderId="27" xfId="0" applyNumberFormat="1" applyFont="1" applyFill="1" applyBorder="1" applyAlignment="1" applyProtection="1">
      <alignment horizontal="left"/>
      <protection/>
    </xf>
    <xf numFmtId="2" fontId="7" fillId="41" borderId="27" xfId="0" applyNumberFormat="1" applyFont="1" applyFill="1" applyBorder="1" applyAlignment="1" applyProtection="1">
      <alignment horizontal="right"/>
      <protection/>
    </xf>
    <xf numFmtId="2" fontId="7" fillId="41" borderId="27" xfId="0" applyNumberFormat="1" applyFont="1" applyFill="1" applyBorder="1" applyAlignment="1" applyProtection="1">
      <alignment/>
      <protection/>
    </xf>
    <xf numFmtId="2" fontId="6" fillId="41" borderId="28" xfId="0" applyNumberFormat="1" applyFont="1" applyFill="1" applyBorder="1" applyAlignment="1" applyProtection="1">
      <alignment/>
      <protection/>
    </xf>
    <xf numFmtId="2" fontId="6" fillId="41" borderId="29" xfId="0" applyNumberFormat="1" applyFont="1" applyFill="1" applyBorder="1" applyAlignment="1" applyProtection="1">
      <alignment/>
      <protection/>
    </xf>
    <xf numFmtId="175" fontId="50" fillId="48" borderId="45" xfId="0" applyNumberFormat="1" applyFont="1" applyFill="1" applyBorder="1" applyAlignment="1" applyProtection="1">
      <alignment horizontal="left"/>
      <protection locked="0"/>
    </xf>
    <xf numFmtId="2" fontId="0" fillId="41" borderId="35" xfId="0" applyNumberFormat="1" applyFill="1" applyBorder="1" applyAlignment="1" applyProtection="1">
      <alignment/>
      <protection/>
    </xf>
    <xf numFmtId="2" fontId="0" fillId="41" borderId="36" xfId="0" applyNumberFormat="1" applyFill="1" applyBorder="1" applyAlignment="1" applyProtection="1">
      <alignment/>
      <protection/>
    </xf>
    <xf numFmtId="2" fontId="14" fillId="41" borderId="36" xfId="0" applyNumberFormat="1" applyFont="1" applyFill="1" applyBorder="1" applyAlignment="1" applyProtection="1">
      <alignment horizontal="center"/>
      <protection/>
    </xf>
    <xf numFmtId="2" fontId="8" fillId="41" borderId="33" xfId="0" applyNumberFormat="1" applyFont="1" applyFill="1" applyBorder="1" applyAlignment="1" applyProtection="1">
      <alignment/>
      <protection/>
    </xf>
    <xf numFmtId="2" fontId="0" fillId="41" borderId="18" xfId="0" applyNumberFormat="1" applyFill="1" applyBorder="1" applyAlignment="1" applyProtection="1">
      <alignment/>
      <protection/>
    </xf>
    <xf numFmtId="2" fontId="8" fillId="41" borderId="33" xfId="0" applyNumberFormat="1" applyFont="1" applyFill="1" applyBorder="1" applyAlignment="1" applyProtection="1">
      <alignment horizontal="right"/>
      <protection/>
    </xf>
    <xf numFmtId="2" fontId="0" fillId="41" borderId="30" xfId="0" applyNumberFormat="1" applyFill="1" applyBorder="1" applyAlignment="1" applyProtection="1">
      <alignment horizontal="right"/>
      <protection/>
    </xf>
    <xf numFmtId="2" fontId="0" fillId="41" borderId="27" xfId="0" applyNumberFormat="1" applyFill="1" applyBorder="1" applyAlignment="1" applyProtection="1" quotePrefix="1">
      <alignment/>
      <protection/>
    </xf>
    <xf numFmtId="2" fontId="14" fillId="41" borderId="0" xfId="0" applyNumberFormat="1" applyFont="1" applyFill="1" applyBorder="1" applyAlignment="1" applyProtection="1">
      <alignment/>
      <protection/>
    </xf>
    <xf numFmtId="2" fontId="0" fillId="41" borderId="27" xfId="0" applyNumberFormat="1" applyFill="1" applyBorder="1" applyAlignment="1" applyProtection="1">
      <alignment horizontal="right"/>
      <protection/>
    </xf>
    <xf numFmtId="2" fontId="0" fillId="41" borderId="37" xfId="0" applyNumberFormat="1" applyFill="1" applyBorder="1" applyAlignment="1" applyProtection="1">
      <alignment/>
      <protection/>
    </xf>
    <xf numFmtId="2" fontId="0" fillId="41" borderId="28" xfId="0" applyNumberFormat="1" applyFill="1" applyBorder="1" applyAlignment="1" applyProtection="1">
      <alignment horizontal="right"/>
      <protection/>
    </xf>
    <xf numFmtId="2" fontId="7" fillId="41" borderId="27" xfId="0" applyNumberFormat="1" applyFont="1" applyFill="1" applyBorder="1" applyAlignment="1" applyProtection="1">
      <alignment horizontal="left"/>
      <protection/>
    </xf>
    <xf numFmtId="2" fontId="11" fillId="41" borderId="27" xfId="0" applyNumberFormat="1" applyFont="1" applyFill="1" applyBorder="1" applyAlignment="1" applyProtection="1">
      <alignment/>
      <protection/>
    </xf>
    <xf numFmtId="2" fontId="0" fillId="41" borderId="30" xfId="0" applyNumberFormat="1" applyFill="1" applyBorder="1" applyAlignment="1" applyProtection="1">
      <alignment/>
      <protection/>
    </xf>
    <xf numFmtId="2" fontId="38" fillId="41" borderId="29" xfId="0" applyNumberFormat="1" applyFont="1" applyFill="1" applyBorder="1" applyAlignment="1" applyProtection="1">
      <alignment/>
      <protection/>
    </xf>
    <xf numFmtId="2" fontId="14" fillId="41" borderId="0" xfId="0" applyNumberFormat="1" applyFont="1" applyFill="1" applyBorder="1" applyAlignment="1" applyProtection="1">
      <alignment horizontal="right"/>
      <protection/>
    </xf>
    <xf numFmtId="2" fontId="34" fillId="41" borderId="38" xfId="0" applyNumberFormat="1" applyFont="1" applyFill="1" applyBorder="1" applyAlignment="1" applyProtection="1">
      <alignment horizontal="center"/>
      <protection/>
    </xf>
    <xf numFmtId="2" fontId="34" fillId="41" borderId="39" xfId="0" applyNumberFormat="1" applyFont="1" applyFill="1" applyBorder="1" applyAlignment="1" applyProtection="1">
      <alignment horizontal="center"/>
      <protection/>
    </xf>
    <xf numFmtId="2" fontId="15" fillId="41" borderId="0" xfId="0" applyNumberFormat="1" applyFont="1" applyFill="1" applyBorder="1" applyAlignment="1" applyProtection="1" quotePrefix="1">
      <alignment/>
      <protection/>
    </xf>
    <xf numFmtId="2" fontId="15" fillId="41" borderId="28" xfId="0" applyNumberFormat="1" applyFont="1" applyFill="1" applyBorder="1" applyAlignment="1" applyProtection="1">
      <alignment/>
      <protection/>
    </xf>
    <xf numFmtId="172" fontId="0" fillId="41" borderId="26" xfId="0" applyNumberFormat="1" applyFill="1" applyBorder="1" applyAlignment="1" applyProtection="1">
      <alignment/>
      <protection/>
    </xf>
    <xf numFmtId="2" fontId="34" fillId="41" borderId="0" xfId="0" applyNumberFormat="1" applyFont="1" applyFill="1" applyBorder="1" applyAlignment="1" applyProtection="1">
      <alignment horizontal="left"/>
      <protection/>
    </xf>
    <xf numFmtId="0" fontId="0" fillId="41" borderId="30" xfId="0" applyFont="1" applyFill="1" applyBorder="1" applyAlignment="1">
      <alignment/>
    </xf>
    <xf numFmtId="0" fontId="0" fillId="41" borderId="24" xfId="0" applyFont="1" applyFill="1" applyBorder="1" applyAlignment="1">
      <alignment/>
    </xf>
    <xf numFmtId="0" fontId="14" fillId="41" borderId="24" xfId="0" applyFont="1" applyFill="1" applyBorder="1" applyAlignment="1">
      <alignment horizontal="center"/>
    </xf>
    <xf numFmtId="0" fontId="0" fillId="41" borderId="25" xfId="0" applyFont="1" applyFill="1" applyBorder="1" applyAlignment="1">
      <alignment/>
    </xf>
    <xf numFmtId="2" fontId="7" fillId="41" borderId="33" xfId="0" applyNumberFormat="1" applyFont="1" applyFill="1" applyBorder="1" applyAlignment="1" applyProtection="1">
      <alignment/>
      <protection/>
    </xf>
    <xf numFmtId="2" fontId="0" fillId="41" borderId="18" xfId="0" applyNumberFormat="1" applyFont="1" applyFill="1" applyBorder="1" applyAlignment="1" applyProtection="1">
      <alignment/>
      <protection/>
    </xf>
    <xf numFmtId="2" fontId="0" fillId="41" borderId="30" xfId="0" applyNumberFormat="1" applyFont="1" applyFill="1" applyBorder="1" applyAlignment="1" applyProtection="1">
      <alignment horizontal="right"/>
      <protection/>
    </xf>
    <xf numFmtId="2" fontId="0" fillId="41" borderId="27" xfId="0" applyNumberFormat="1" applyFont="1" applyFill="1" applyBorder="1" applyAlignment="1" applyProtection="1">
      <alignment/>
      <protection/>
    </xf>
    <xf numFmtId="2" fontId="0" fillId="41" borderId="0" xfId="0" applyNumberFormat="1" applyFont="1" applyFill="1" applyBorder="1" applyAlignment="1" applyProtection="1">
      <alignment/>
      <protection/>
    </xf>
    <xf numFmtId="2" fontId="0" fillId="41" borderId="27" xfId="0" applyNumberFormat="1" applyFont="1" applyFill="1" applyBorder="1" applyAlignment="1" applyProtection="1">
      <alignment horizontal="right"/>
      <protection/>
    </xf>
    <xf numFmtId="2" fontId="0" fillId="41" borderId="0" xfId="0" applyNumberFormat="1" applyFont="1" applyFill="1" applyBorder="1" applyAlignment="1" applyProtection="1">
      <alignment horizontal="right"/>
      <protection/>
    </xf>
    <xf numFmtId="2" fontId="0" fillId="41" borderId="30" xfId="0" applyNumberFormat="1" applyFont="1" applyFill="1" applyBorder="1" applyAlignment="1" applyProtection="1">
      <alignment/>
      <protection/>
    </xf>
    <xf numFmtId="2" fontId="0" fillId="41" borderId="28" xfId="0" applyNumberFormat="1" applyFont="1" applyFill="1" applyBorder="1" applyAlignment="1" applyProtection="1">
      <alignment/>
      <protection/>
    </xf>
    <xf numFmtId="2" fontId="34" fillId="41" borderId="29" xfId="0" applyNumberFormat="1" applyFont="1" applyFill="1" applyBorder="1" applyAlignment="1" applyProtection="1">
      <alignment/>
      <protection/>
    </xf>
    <xf numFmtId="2" fontId="15" fillId="41" borderId="27" xfId="0" applyNumberFormat="1" applyFont="1" applyFill="1" applyBorder="1" applyAlignment="1" applyProtection="1">
      <alignment/>
      <protection/>
    </xf>
    <xf numFmtId="2" fontId="0" fillId="41" borderId="28" xfId="0" applyNumberFormat="1" applyFont="1" applyFill="1" applyBorder="1" applyAlignment="1" applyProtection="1">
      <alignment horizontal="right"/>
      <protection/>
    </xf>
    <xf numFmtId="172" fontId="0" fillId="41" borderId="26" xfId="0" applyNumberFormat="1" applyFont="1" applyFill="1" applyBorder="1" applyAlignment="1" applyProtection="1">
      <alignment/>
      <protection/>
    </xf>
    <xf numFmtId="2" fontId="0" fillId="41" borderId="26" xfId="0" applyNumberFormat="1" applyFont="1" applyFill="1" applyBorder="1" applyAlignment="1" applyProtection="1">
      <alignment/>
      <protection/>
    </xf>
    <xf numFmtId="2" fontId="0" fillId="41" borderId="0" xfId="0" applyNumberFormat="1" applyFont="1" applyFill="1" applyBorder="1" applyAlignment="1" applyProtection="1">
      <alignment horizontal="left"/>
      <protection/>
    </xf>
    <xf numFmtId="2" fontId="0" fillId="41" borderId="29" xfId="0" applyNumberFormat="1" applyFont="1" applyFill="1" applyBorder="1" applyAlignment="1" applyProtection="1">
      <alignment/>
      <protection/>
    </xf>
    <xf numFmtId="2" fontId="0" fillId="41" borderId="34" xfId="0" applyNumberFormat="1" applyFont="1" applyFill="1" applyBorder="1" applyAlignment="1" applyProtection="1">
      <alignment/>
      <protection/>
    </xf>
    <xf numFmtId="2" fontId="0" fillId="41" borderId="41" xfId="0" applyNumberFormat="1" applyFont="1" applyFill="1" applyBorder="1" applyAlignment="1" applyProtection="1">
      <alignment/>
      <protection/>
    </xf>
    <xf numFmtId="2" fontId="7" fillId="41" borderId="30" xfId="0" applyNumberFormat="1" applyFont="1" applyFill="1" applyBorder="1" applyAlignment="1" applyProtection="1" quotePrefix="1">
      <alignment/>
      <protection/>
    </xf>
    <xf numFmtId="0" fontId="0" fillId="41" borderId="29" xfId="0" applyFill="1" applyBorder="1" applyAlignment="1">
      <alignment/>
    </xf>
    <xf numFmtId="2" fontId="7" fillId="41" borderId="30" xfId="0" applyNumberFormat="1" applyFont="1" applyFill="1" applyBorder="1" applyAlignment="1" applyProtection="1">
      <alignment horizontal="right"/>
      <protection/>
    </xf>
    <xf numFmtId="2" fontId="14" fillId="41" borderId="24" xfId="0" applyNumberFormat="1" applyFont="1" applyFill="1" applyBorder="1" applyAlignment="1" applyProtection="1">
      <alignment horizontal="left"/>
      <protection/>
    </xf>
    <xf numFmtId="0" fontId="0" fillId="41" borderId="24" xfId="0" applyFill="1" applyBorder="1" applyAlignment="1">
      <alignment/>
    </xf>
    <xf numFmtId="2" fontId="0" fillId="41" borderId="29" xfId="0" applyNumberFormat="1" applyFill="1" applyBorder="1" applyAlignment="1" applyProtection="1">
      <alignment horizontal="right"/>
      <protection/>
    </xf>
    <xf numFmtId="2" fontId="15" fillId="41" borderId="24" xfId="0" applyNumberFormat="1" applyFont="1" applyFill="1" applyBorder="1" applyAlignment="1" applyProtection="1">
      <alignment/>
      <protection/>
    </xf>
    <xf numFmtId="2" fontId="0" fillId="41" borderId="0" xfId="0" applyNumberFormat="1" applyFill="1" applyBorder="1" applyAlignment="1" applyProtection="1" quotePrefix="1">
      <alignment/>
      <protection/>
    </xf>
    <xf numFmtId="2" fontId="49" fillId="41" borderId="0" xfId="0" applyNumberFormat="1" applyFont="1" applyFill="1" applyBorder="1" applyAlignment="1" applyProtection="1">
      <alignment/>
      <protection/>
    </xf>
    <xf numFmtId="2" fontId="14" fillId="41" borderId="0" xfId="0" applyNumberFormat="1" applyFont="1" applyFill="1" applyBorder="1" applyAlignment="1" applyProtection="1" quotePrefix="1">
      <alignment horizontal="center"/>
      <protection/>
    </xf>
    <xf numFmtId="2" fontId="14" fillId="41" borderId="29" xfId="0" applyNumberFormat="1" applyFont="1" applyFill="1" applyBorder="1" applyAlignment="1" applyProtection="1" quotePrefix="1">
      <alignment horizontal="center"/>
      <protection/>
    </xf>
    <xf numFmtId="2" fontId="0" fillId="41" borderId="24" xfId="0" applyNumberFormat="1" applyFont="1" applyFill="1" applyBorder="1" applyAlignment="1" applyProtection="1">
      <alignment/>
      <protection/>
    </xf>
    <xf numFmtId="2" fontId="0" fillId="41" borderId="24" xfId="0" applyNumberFormat="1" applyFont="1" applyFill="1" applyBorder="1" applyAlignment="1" applyProtection="1">
      <alignment horizontal="right"/>
      <protection/>
    </xf>
    <xf numFmtId="2" fontId="0" fillId="41" borderId="24" xfId="0" applyNumberFormat="1" applyFont="1" applyFill="1" applyBorder="1" applyAlignment="1" applyProtection="1">
      <alignment horizontal="left"/>
      <protection/>
    </xf>
    <xf numFmtId="2" fontId="0" fillId="41" borderId="25" xfId="0" applyNumberFormat="1" applyFont="1" applyFill="1" applyBorder="1" applyAlignment="1" applyProtection="1">
      <alignment/>
      <protection/>
    </xf>
    <xf numFmtId="2" fontId="6" fillId="41" borderId="30" xfId="0" applyNumberFormat="1" applyFont="1" applyFill="1" applyBorder="1" applyAlignment="1" applyProtection="1">
      <alignment horizontal="right"/>
      <protection/>
    </xf>
    <xf numFmtId="2" fontId="14" fillId="41" borderId="24" xfId="0" applyNumberFormat="1" applyFont="1" applyFill="1" applyBorder="1" applyAlignment="1" applyProtection="1">
      <alignment horizontal="center"/>
      <protection/>
    </xf>
    <xf numFmtId="2" fontId="0" fillId="41" borderId="29" xfId="0" applyNumberFormat="1" applyFont="1" applyFill="1" applyBorder="1" applyAlignment="1" applyProtection="1">
      <alignment/>
      <protection/>
    </xf>
    <xf numFmtId="2" fontId="0" fillId="41" borderId="29" xfId="0" applyNumberFormat="1" applyFont="1" applyFill="1" applyBorder="1" applyAlignment="1" applyProtection="1">
      <alignment horizontal="right"/>
      <protection/>
    </xf>
    <xf numFmtId="0" fontId="0" fillId="41" borderId="27" xfId="0" applyFont="1" applyFill="1" applyBorder="1" applyAlignment="1">
      <alignment/>
    </xf>
    <xf numFmtId="2" fontId="7" fillId="41" borderId="30" xfId="0" applyNumberFormat="1" applyFont="1" applyFill="1" applyBorder="1" applyAlignment="1" applyProtection="1">
      <alignment/>
      <protection/>
    </xf>
    <xf numFmtId="2" fontId="6" fillId="41" borderId="25" xfId="0" applyNumberFormat="1" applyFont="1" applyFill="1" applyBorder="1" applyAlignment="1" applyProtection="1">
      <alignment/>
      <protection/>
    </xf>
    <xf numFmtId="2" fontId="6" fillId="41" borderId="26" xfId="0" applyNumberFormat="1" applyFont="1" applyFill="1" applyBorder="1" applyAlignment="1" applyProtection="1">
      <alignment/>
      <protection/>
    </xf>
    <xf numFmtId="2" fontId="6" fillId="41" borderId="34" xfId="0" applyNumberFormat="1" applyFont="1" applyFill="1" applyBorder="1" applyAlignment="1" applyProtection="1">
      <alignment/>
      <protection/>
    </xf>
    <xf numFmtId="2" fontId="6" fillId="41" borderId="29" xfId="0" applyNumberFormat="1" applyFont="1" applyFill="1" applyBorder="1" applyAlignment="1" applyProtection="1">
      <alignment/>
      <protection/>
    </xf>
    <xf numFmtId="2" fontId="6" fillId="41" borderId="28" xfId="0" applyNumberFormat="1" applyFont="1" applyFill="1" applyBorder="1" applyAlignment="1" applyProtection="1">
      <alignment/>
      <protection/>
    </xf>
    <xf numFmtId="2" fontId="7" fillId="41" borderId="27" xfId="0" applyNumberFormat="1" applyFont="1" applyFill="1" applyBorder="1" applyAlignment="1" applyProtection="1">
      <alignment horizontal="center"/>
      <protection/>
    </xf>
    <xf numFmtId="2" fontId="34" fillId="41" borderId="28" xfId="0" applyNumberFormat="1" applyFont="1" applyFill="1" applyBorder="1" applyAlignment="1" applyProtection="1">
      <alignment/>
      <protection/>
    </xf>
    <xf numFmtId="2" fontId="5" fillId="52" borderId="56" xfId="0" applyNumberFormat="1" applyFont="1" applyFill="1" applyBorder="1" applyAlignment="1" applyProtection="1">
      <alignment horizontal="center"/>
      <protection/>
    </xf>
    <xf numFmtId="2" fontId="5" fillId="52" borderId="57" xfId="0" applyNumberFormat="1" applyFont="1" applyFill="1" applyBorder="1" applyAlignment="1" applyProtection="1">
      <alignment horizontal="center"/>
      <protection/>
    </xf>
    <xf numFmtId="2" fontId="4" fillId="52" borderId="57" xfId="0" applyNumberFormat="1" applyFont="1" applyFill="1" applyBorder="1" applyAlignment="1" applyProtection="1">
      <alignment horizontal="center"/>
      <protection/>
    </xf>
    <xf numFmtId="2" fontId="5" fillId="52" borderId="58" xfId="0" applyNumberFormat="1" applyFont="1" applyFill="1" applyBorder="1" applyAlignment="1" applyProtection="1">
      <alignment horizontal="center"/>
      <protection/>
    </xf>
    <xf numFmtId="2" fontId="0" fillId="47" borderId="28" xfId="0" applyNumberFormat="1" applyFill="1" applyBorder="1" applyAlignment="1" applyProtection="1">
      <alignment horizontal="right"/>
      <protection/>
    </xf>
    <xf numFmtId="9" fontId="0" fillId="44" borderId="29" xfId="0" applyNumberFormat="1" applyFill="1" applyBorder="1" applyAlignment="1" applyProtection="1">
      <alignment horizontal="center"/>
      <protection/>
    </xf>
    <xf numFmtId="2" fontId="6" fillId="44" borderId="59" xfId="42" applyNumberFormat="1" applyFont="1" applyFill="1" applyBorder="1" applyAlignment="1" applyProtection="1">
      <alignment horizontal="center"/>
      <protection/>
    </xf>
    <xf numFmtId="3" fontId="6" fillId="44" borderId="60" xfId="42" applyNumberFormat="1" applyFont="1" applyFill="1" applyBorder="1" applyAlignment="1" applyProtection="1">
      <alignment horizontal="center"/>
      <protection/>
    </xf>
    <xf numFmtId="181" fontId="6" fillId="44" borderId="60" xfId="0" applyNumberFormat="1" applyFont="1" applyFill="1" applyBorder="1" applyAlignment="1" applyProtection="1">
      <alignment horizontal="center"/>
      <protection/>
    </xf>
    <xf numFmtId="10" fontId="6" fillId="44" borderId="60" xfId="0" applyNumberFormat="1" applyFont="1" applyFill="1" applyBorder="1" applyAlignment="1" applyProtection="1">
      <alignment horizontal="center"/>
      <protection/>
    </xf>
    <xf numFmtId="2" fontId="6" fillId="41" borderId="0" xfId="0" applyNumberFormat="1" applyFont="1" applyFill="1" applyBorder="1" applyAlignment="1" applyProtection="1">
      <alignment horizontal="center"/>
      <protection locked="0"/>
    </xf>
    <xf numFmtId="10" fontId="6" fillId="41" borderId="0" xfId="0" applyNumberFormat="1" applyFont="1" applyFill="1" applyBorder="1" applyAlignment="1" applyProtection="1">
      <alignment horizontal="center"/>
      <protection/>
    </xf>
    <xf numFmtId="177" fontId="6" fillId="41" borderId="0" xfId="42" applyNumberFormat="1" applyFont="1" applyFill="1" applyBorder="1" applyAlignment="1" applyProtection="1">
      <alignment horizontal="right"/>
      <protection locked="0"/>
    </xf>
    <xf numFmtId="2" fontId="51" fillId="41" borderId="26" xfId="0" applyNumberFormat="1" applyFont="1" applyFill="1" applyBorder="1" applyAlignment="1" applyProtection="1">
      <alignment/>
      <protection locked="0"/>
    </xf>
    <xf numFmtId="177" fontId="6" fillId="41" borderId="55" xfId="42" applyNumberFormat="1" applyFont="1" applyFill="1" applyBorder="1" applyAlignment="1" applyProtection="1">
      <alignment horizontal="right"/>
      <protection locked="0"/>
    </xf>
    <xf numFmtId="2" fontId="6" fillId="41" borderId="0" xfId="0" applyNumberFormat="1" applyFont="1" applyFill="1" applyBorder="1" applyAlignment="1" applyProtection="1">
      <alignment horizontal="center"/>
      <protection/>
    </xf>
    <xf numFmtId="177" fontId="6" fillId="41" borderId="0" xfId="42" applyNumberFormat="1" applyFont="1" applyFill="1" applyBorder="1" applyAlignment="1" applyProtection="1">
      <alignment horizontal="right"/>
      <protection/>
    </xf>
    <xf numFmtId="2" fontId="6" fillId="41" borderId="26" xfId="0" applyNumberFormat="1" applyFont="1" applyFill="1" applyBorder="1" applyAlignment="1" applyProtection="1" quotePrefix="1">
      <alignment/>
      <protection/>
    </xf>
    <xf numFmtId="2" fontId="7" fillId="41" borderId="0" xfId="0" applyNumberFormat="1" applyFont="1" applyFill="1" applyBorder="1" applyAlignment="1" applyProtection="1">
      <alignment/>
      <protection/>
    </xf>
    <xf numFmtId="2" fontId="7" fillId="41" borderId="26" xfId="0" applyNumberFormat="1" applyFont="1" applyFill="1" applyBorder="1" applyAlignment="1" applyProtection="1">
      <alignment horizontal="center"/>
      <protection/>
    </xf>
    <xf numFmtId="181" fontId="6" fillId="41" borderId="0" xfId="0" applyNumberFormat="1" applyFont="1" applyFill="1" applyBorder="1" applyAlignment="1" applyProtection="1">
      <alignment horizontal="center"/>
      <protection locked="0"/>
    </xf>
    <xf numFmtId="10" fontId="6" fillId="41" borderId="0" xfId="0" applyNumberFormat="1" applyFont="1" applyFill="1" applyBorder="1" applyAlignment="1" applyProtection="1">
      <alignment horizontal="center"/>
      <protection locked="0"/>
    </xf>
    <xf numFmtId="2" fontId="7" fillId="41" borderId="61" xfId="0" applyNumberFormat="1" applyFont="1" applyFill="1" applyBorder="1" applyAlignment="1" applyProtection="1">
      <alignment/>
      <protection/>
    </xf>
    <xf numFmtId="2" fontId="7" fillId="41" borderId="16" xfId="0" applyNumberFormat="1" applyFont="1" applyFill="1" applyBorder="1" applyAlignment="1" applyProtection="1">
      <alignment/>
      <protection/>
    </xf>
    <xf numFmtId="2" fontId="7" fillId="41" borderId="62" xfId="0" applyNumberFormat="1" applyFont="1" applyFill="1" applyBorder="1" applyAlignment="1" applyProtection="1">
      <alignment/>
      <protection/>
    </xf>
    <xf numFmtId="2" fontId="34" fillId="47" borderId="0" xfId="0" applyNumberFormat="1" applyFont="1" applyFill="1" applyBorder="1" applyAlignment="1" applyProtection="1">
      <alignment horizontal="center"/>
      <protection/>
    </xf>
    <xf numFmtId="173" fontId="34" fillId="47" borderId="0" xfId="0" applyNumberFormat="1" applyFont="1" applyFill="1" applyBorder="1" applyAlignment="1" applyProtection="1">
      <alignment horizontal="center"/>
      <protection/>
    </xf>
    <xf numFmtId="2" fontId="53" fillId="47" borderId="27" xfId="0" applyNumberFormat="1" applyFont="1" applyFill="1" applyBorder="1" applyAlignment="1" applyProtection="1">
      <alignment horizontal="right"/>
      <protection/>
    </xf>
    <xf numFmtId="10" fontId="4" fillId="55" borderId="15" xfId="0" applyNumberFormat="1" applyFont="1" applyFill="1" applyBorder="1" applyAlignment="1" applyProtection="1">
      <alignment horizontal="center"/>
      <protection/>
    </xf>
    <xf numFmtId="185" fontId="0" fillId="44" borderId="0" xfId="42" applyNumberFormat="1" applyFont="1" applyFill="1" applyBorder="1" applyAlignment="1" applyProtection="1">
      <alignment horizontal="center"/>
      <protection/>
    </xf>
    <xf numFmtId="173" fontId="5" fillId="55" borderId="0" xfId="42" applyNumberFormat="1" applyFont="1" applyFill="1" applyBorder="1" applyAlignment="1" applyProtection="1">
      <alignment horizontal="center"/>
      <protection/>
    </xf>
    <xf numFmtId="2" fontId="6" fillId="49" borderId="0" xfId="0" applyNumberFormat="1" applyFont="1" applyFill="1" applyBorder="1" applyAlignment="1" applyProtection="1">
      <alignment horizontal="center"/>
      <protection locked="0"/>
    </xf>
    <xf numFmtId="2" fontId="14" fillId="49" borderId="0" xfId="0" applyNumberFormat="1" applyFont="1" applyFill="1" applyAlignment="1" applyProtection="1">
      <alignment horizontal="center"/>
      <protection locked="0"/>
    </xf>
    <xf numFmtId="2" fontId="7" fillId="43" borderId="61" xfId="0" applyNumberFormat="1" applyFont="1" applyFill="1" applyBorder="1" applyAlignment="1" applyProtection="1">
      <alignment/>
      <protection/>
    </xf>
    <xf numFmtId="2" fontId="7" fillId="43" borderId="16" xfId="0" applyNumberFormat="1" applyFont="1" applyFill="1" applyBorder="1" applyAlignment="1" applyProtection="1">
      <alignment/>
      <protection/>
    </xf>
    <xf numFmtId="2" fontId="7" fillId="43" borderId="62" xfId="0" applyNumberFormat="1" applyFont="1" applyFill="1" applyBorder="1" applyAlignment="1" applyProtection="1">
      <alignment/>
      <protection/>
    </xf>
    <xf numFmtId="2" fontId="6" fillId="43" borderId="30" xfId="0" applyNumberFormat="1" applyFont="1" applyFill="1" applyBorder="1" applyAlignment="1" applyProtection="1">
      <alignment/>
      <protection/>
    </xf>
    <xf numFmtId="2" fontId="6" fillId="43" borderId="24" xfId="0" applyNumberFormat="1" applyFont="1" applyFill="1" applyBorder="1" applyAlignment="1" applyProtection="1">
      <alignment/>
      <protection/>
    </xf>
    <xf numFmtId="2" fontId="6" fillId="43" borderId="25" xfId="0" applyNumberFormat="1" applyFont="1" applyFill="1" applyBorder="1" applyAlignment="1" applyProtection="1">
      <alignment/>
      <protection/>
    </xf>
    <xf numFmtId="2" fontId="6" fillId="43" borderId="27" xfId="0" applyNumberFormat="1" applyFont="1" applyFill="1" applyBorder="1" applyAlignment="1" applyProtection="1">
      <alignment/>
      <protection/>
    </xf>
    <xf numFmtId="181" fontId="6" fillId="43" borderId="0" xfId="0" applyNumberFormat="1" applyFont="1" applyFill="1" applyBorder="1" applyAlignment="1" applyProtection="1">
      <alignment horizontal="center"/>
      <protection locked="0"/>
    </xf>
    <xf numFmtId="2" fontId="6" fillId="43" borderId="0" xfId="0" applyNumberFormat="1" applyFont="1" applyFill="1" applyBorder="1" applyAlignment="1" applyProtection="1">
      <alignment/>
      <protection/>
    </xf>
    <xf numFmtId="2" fontId="6" fillId="43" borderId="0" xfId="0" applyNumberFormat="1" applyFont="1" applyFill="1" applyBorder="1" applyAlignment="1" applyProtection="1">
      <alignment horizontal="center"/>
      <protection locked="0"/>
    </xf>
    <xf numFmtId="177" fontId="6" fillId="43" borderId="0" xfId="42" applyNumberFormat="1" applyFont="1" applyFill="1" applyBorder="1" applyAlignment="1" applyProtection="1">
      <alignment horizontal="right"/>
      <protection locked="0"/>
    </xf>
    <xf numFmtId="2" fontId="10" fillId="43" borderId="27" xfId="0" applyNumberFormat="1" applyFont="1" applyFill="1" applyBorder="1" applyAlignment="1" applyProtection="1">
      <alignment/>
      <protection/>
    </xf>
    <xf numFmtId="177" fontId="6" fillId="43" borderId="55" xfId="42" applyNumberFormat="1" applyFont="1" applyFill="1" applyBorder="1" applyAlignment="1" applyProtection="1">
      <alignment horizontal="right"/>
      <protection locked="0"/>
    </xf>
    <xf numFmtId="2" fontId="6" fillId="43" borderId="0" xfId="0" applyNumberFormat="1" applyFont="1" applyFill="1" applyBorder="1" applyAlignment="1" applyProtection="1">
      <alignment horizontal="center"/>
      <protection/>
    </xf>
    <xf numFmtId="177" fontId="6" fillId="43" borderId="0" xfId="42" applyNumberFormat="1" applyFont="1" applyFill="1" applyBorder="1" applyAlignment="1" applyProtection="1">
      <alignment horizontal="right"/>
      <protection/>
    </xf>
    <xf numFmtId="2" fontId="6" fillId="43" borderId="26" xfId="0" applyNumberFormat="1" applyFont="1" applyFill="1" applyBorder="1" applyAlignment="1" applyProtection="1" quotePrefix="1">
      <alignment/>
      <protection/>
    </xf>
    <xf numFmtId="2" fontId="7" fillId="43" borderId="0" xfId="0" applyNumberFormat="1" applyFont="1" applyFill="1" applyBorder="1" applyAlignment="1" applyProtection="1">
      <alignment horizontal="right"/>
      <protection/>
    </xf>
    <xf numFmtId="2" fontId="14" fillId="43" borderId="42" xfId="0" applyNumberFormat="1" applyFont="1" applyFill="1" applyBorder="1" applyAlignment="1" applyProtection="1">
      <alignment horizontal="center"/>
      <protection/>
    </xf>
    <xf numFmtId="2" fontId="6" fillId="43" borderId="26" xfId="0" applyNumberFormat="1" applyFont="1" applyFill="1" applyBorder="1" applyAlignment="1" applyProtection="1">
      <alignment/>
      <protection/>
    </xf>
    <xf numFmtId="2" fontId="7" fillId="43" borderId="0" xfId="0" applyNumberFormat="1" applyFont="1" applyFill="1" applyBorder="1" applyAlignment="1" applyProtection="1">
      <alignment/>
      <protection/>
    </xf>
    <xf numFmtId="2" fontId="0" fillId="43" borderId="0" xfId="0" applyNumberFormat="1" applyFill="1" applyAlignment="1" applyProtection="1">
      <alignment/>
      <protection/>
    </xf>
    <xf numFmtId="2" fontId="6" fillId="43" borderId="0" xfId="0" applyNumberFormat="1" applyFont="1" applyFill="1" applyBorder="1" applyAlignment="1" applyProtection="1">
      <alignment horizontal="right"/>
      <protection/>
    </xf>
    <xf numFmtId="10" fontId="6" fillId="43" borderId="0" xfId="0" applyNumberFormat="1" applyFont="1" applyFill="1" applyBorder="1" applyAlignment="1" applyProtection="1">
      <alignment horizontal="center"/>
      <protection locked="0"/>
    </xf>
    <xf numFmtId="2" fontId="7" fillId="43" borderId="27" xfId="0" applyNumberFormat="1" applyFont="1" applyFill="1" applyBorder="1" applyAlignment="1" applyProtection="1">
      <alignment horizontal="right"/>
      <protection/>
    </xf>
    <xf numFmtId="2" fontId="14" fillId="43" borderId="0" xfId="0" applyNumberFormat="1" applyFont="1" applyFill="1" applyBorder="1" applyAlignment="1" applyProtection="1">
      <alignment horizontal="center"/>
      <protection/>
    </xf>
    <xf numFmtId="2" fontId="10" fillId="43" borderId="0" xfId="0" applyNumberFormat="1" applyFont="1" applyFill="1" applyBorder="1" applyAlignment="1" applyProtection="1">
      <alignment horizontal="right"/>
      <protection/>
    </xf>
    <xf numFmtId="10" fontId="0" fillId="43" borderId="0" xfId="0" applyNumberFormat="1" applyFont="1" applyFill="1" applyBorder="1" applyAlignment="1" applyProtection="1">
      <alignment horizontal="center"/>
      <protection/>
    </xf>
    <xf numFmtId="37" fontId="14" fillId="43" borderId="0" xfId="42" applyNumberFormat="1" applyFont="1" applyFill="1" applyBorder="1" applyAlignment="1" applyProtection="1">
      <alignment horizontal="center"/>
      <protection/>
    </xf>
    <xf numFmtId="2" fontId="7" fillId="43" borderId="26" xfId="0" applyNumberFormat="1" applyFont="1" applyFill="1" applyBorder="1" applyAlignment="1" applyProtection="1">
      <alignment horizontal="center"/>
      <protection/>
    </xf>
    <xf numFmtId="2" fontId="6" fillId="43" borderId="0" xfId="0" applyNumberFormat="1" applyFont="1" applyFill="1" applyBorder="1" applyAlignment="1" applyProtection="1">
      <alignment horizontal="left"/>
      <protection/>
    </xf>
    <xf numFmtId="9" fontId="7" fillId="43" borderId="26" xfId="0" applyNumberFormat="1" applyFont="1" applyFill="1" applyBorder="1" applyAlignment="1" applyProtection="1">
      <alignment horizontal="center"/>
      <protection/>
    </xf>
    <xf numFmtId="10" fontId="0" fillId="43" borderId="55" xfId="0" applyNumberFormat="1" applyFont="1" applyFill="1" applyBorder="1" applyAlignment="1" applyProtection="1">
      <alignment horizontal="center"/>
      <protection/>
    </xf>
    <xf numFmtId="2" fontId="7" fillId="51" borderId="30" xfId="0" applyNumberFormat="1" applyFont="1" applyFill="1" applyBorder="1" applyAlignment="1" applyProtection="1">
      <alignment/>
      <protection/>
    </xf>
    <xf numFmtId="2" fontId="0" fillId="51" borderId="24" xfId="0" applyNumberFormat="1" applyFill="1" applyBorder="1" applyAlignment="1" applyProtection="1">
      <alignment/>
      <protection/>
    </xf>
    <xf numFmtId="2" fontId="0" fillId="51" borderId="25" xfId="0" applyNumberFormat="1" applyFill="1" applyBorder="1" applyAlignment="1" applyProtection="1">
      <alignment/>
      <protection/>
    </xf>
    <xf numFmtId="2" fontId="0" fillId="51" borderId="0" xfId="0" applyNumberFormat="1" applyFill="1" applyBorder="1" applyAlignment="1" applyProtection="1">
      <alignment/>
      <protection/>
    </xf>
    <xf numFmtId="2" fontId="0" fillId="51" borderId="26" xfId="0" applyNumberFormat="1" applyFill="1" applyBorder="1" applyAlignment="1" applyProtection="1">
      <alignment/>
      <protection/>
    </xf>
    <xf numFmtId="2" fontId="0" fillId="51" borderId="0" xfId="0" applyNumberFormat="1" applyFill="1" applyBorder="1" applyAlignment="1" applyProtection="1">
      <alignment horizontal="right"/>
      <protection/>
    </xf>
    <xf numFmtId="2" fontId="9" fillId="51" borderId="0" xfId="0" applyNumberFormat="1" applyFont="1" applyFill="1" applyBorder="1" applyAlignment="1" applyProtection="1">
      <alignment horizontal="right"/>
      <protection/>
    </xf>
    <xf numFmtId="2" fontId="0" fillId="51" borderId="29" xfId="0" applyNumberFormat="1" applyFill="1" applyBorder="1" applyAlignment="1" applyProtection="1">
      <alignment/>
      <protection/>
    </xf>
    <xf numFmtId="181" fontId="7" fillId="44" borderId="0" xfId="57" applyNumberFormat="1" applyFont="1" applyFill="1" applyBorder="1" applyAlignment="1" applyProtection="1">
      <alignment horizontal="center"/>
      <protection/>
    </xf>
    <xf numFmtId="10" fontId="0" fillId="46" borderId="0" xfId="57" applyNumberFormat="1" applyFont="1" applyFill="1" applyBorder="1" applyAlignment="1" applyProtection="1">
      <alignment horizontal="center"/>
      <protection locked="0"/>
    </xf>
    <xf numFmtId="10" fontId="0" fillId="46" borderId="29" xfId="57" applyNumberFormat="1" applyFont="1" applyFill="1" applyBorder="1" applyAlignment="1" applyProtection="1">
      <alignment horizontal="center"/>
      <protection locked="0"/>
    </xf>
    <xf numFmtId="2" fontId="15" fillId="51" borderId="27" xfId="0" applyNumberFormat="1" applyFont="1" applyFill="1" applyBorder="1" applyAlignment="1" applyProtection="1">
      <alignment horizontal="right"/>
      <protection/>
    </xf>
    <xf numFmtId="2" fontId="15" fillId="51" borderId="28" xfId="0" applyNumberFormat="1" applyFont="1" applyFill="1" applyBorder="1" applyAlignment="1" applyProtection="1">
      <alignment horizontal="right"/>
      <protection/>
    </xf>
    <xf numFmtId="0" fontId="0" fillId="47" borderId="35" xfId="0" applyFont="1" applyFill="1" applyBorder="1" applyAlignment="1">
      <alignment/>
    </xf>
    <xf numFmtId="0" fontId="0" fillId="47" borderId="36" xfId="0" applyFont="1" applyFill="1" applyBorder="1" applyAlignment="1">
      <alignment/>
    </xf>
    <xf numFmtId="173" fontId="7" fillId="44" borderId="42" xfId="0" applyNumberFormat="1" applyFont="1" applyFill="1" applyBorder="1" applyAlignment="1" applyProtection="1">
      <alignment horizontal="center"/>
      <protection locked="0"/>
    </xf>
    <xf numFmtId="173" fontId="14" fillId="44" borderId="42" xfId="0" applyNumberFormat="1" applyFont="1" applyFill="1" applyBorder="1" applyAlignment="1" applyProtection="1">
      <alignment horizontal="center"/>
      <protection/>
    </xf>
    <xf numFmtId="2" fontId="0" fillId="47" borderId="26" xfId="0" applyNumberFormat="1" applyFont="1" applyFill="1" applyBorder="1" applyAlignment="1" applyProtection="1">
      <alignment horizontal="right"/>
      <protection/>
    </xf>
    <xf numFmtId="0" fontId="0" fillId="43" borderId="28" xfId="0" applyFill="1" applyBorder="1" applyAlignment="1">
      <alignment horizontal="right"/>
    </xf>
    <xf numFmtId="2" fontId="6" fillId="49" borderId="24" xfId="0" applyNumberFormat="1" applyFont="1" applyFill="1" applyBorder="1" applyAlignment="1" applyProtection="1">
      <alignment horizontal="center"/>
      <protection locked="0"/>
    </xf>
    <xf numFmtId="2" fontId="0" fillId="47" borderId="24" xfId="0" applyNumberFormat="1" applyFont="1" applyFill="1" applyBorder="1" applyAlignment="1" applyProtection="1" quotePrefix="1">
      <alignment/>
      <protection/>
    </xf>
    <xf numFmtId="172" fontId="0" fillId="33" borderId="0" xfId="0" applyNumberFormat="1" applyFill="1" applyAlignment="1" applyProtection="1">
      <alignment/>
      <protection/>
    </xf>
    <xf numFmtId="4" fontId="14" fillId="44" borderId="42" xfId="0" applyNumberFormat="1" applyFont="1" applyFill="1" applyBorder="1" applyAlignment="1" applyProtection="1">
      <alignment horizontal="center"/>
      <protection/>
    </xf>
    <xf numFmtId="174" fontId="0" fillId="33" borderId="0" xfId="0" applyNumberFormat="1" applyFill="1" applyAlignment="1" applyProtection="1">
      <alignment/>
      <protection/>
    </xf>
    <xf numFmtId="4" fontId="54" fillId="39" borderId="0" xfId="0" applyNumberFormat="1" applyFont="1" applyFill="1" applyBorder="1" applyAlignment="1" applyProtection="1">
      <alignment horizontal="center"/>
      <protection locked="0"/>
    </xf>
    <xf numFmtId="2" fontId="0" fillId="51" borderId="32" xfId="0" applyNumberFormat="1" applyFill="1" applyBorder="1" applyAlignment="1" applyProtection="1">
      <alignment horizontal="center"/>
      <protection/>
    </xf>
    <xf numFmtId="2" fontId="0" fillId="51" borderId="47" xfId="0" applyNumberFormat="1" applyFill="1" applyBorder="1" applyAlignment="1" applyProtection="1">
      <alignment horizontal="center"/>
      <protection/>
    </xf>
    <xf numFmtId="2" fontId="0" fillId="41" borderId="32" xfId="0" applyNumberFormat="1" applyFill="1" applyBorder="1" applyAlignment="1" applyProtection="1">
      <alignment horizontal="center"/>
      <protection/>
    </xf>
    <xf numFmtId="2" fontId="0" fillId="41" borderId="47" xfId="0" applyNumberFormat="1" applyFill="1" applyBorder="1" applyAlignment="1" applyProtection="1">
      <alignment horizontal="center"/>
      <protection/>
    </xf>
    <xf numFmtId="172" fontId="43" fillId="44" borderId="42" xfId="0" applyNumberFormat="1" applyFont="1" applyFill="1" applyBorder="1" applyAlignment="1" applyProtection="1">
      <alignment horizontal="center"/>
      <protection/>
    </xf>
    <xf numFmtId="0" fontId="0" fillId="41" borderId="28" xfId="0" applyFill="1" applyBorder="1" applyAlignment="1">
      <alignment horizontal="right"/>
    </xf>
    <xf numFmtId="2" fontId="0" fillId="46" borderId="24" xfId="0" applyNumberFormat="1" applyFont="1" applyFill="1" applyBorder="1" applyAlignment="1" applyProtection="1">
      <alignment horizontal="center"/>
      <protection/>
    </xf>
    <xf numFmtId="2" fontId="0" fillId="41" borderId="0" xfId="0" applyNumberFormat="1" applyFont="1" applyFill="1" applyBorder="1" applyAlignment="1">
      <alignment horizontal="right"/>
    </xf>
    <xf numFmtId="2" fontId="0" fillId="41" borderId="29" xfId="0" applyNumberFormat="1" applyFont="1" applyFill="1" applyBorder="1" applyAlignment="1" applyProtection="1">
      <alignment horizontal="left"/>
      <protection/>
    </xf>
    <xf numFmtId="2" fontId="55" fillId="51" borderId="63" xfId="0" applyNumberFormat="1" applyFont="1" applyFill="1" applyBorder="1" applyAlignment="1" applyProtection="1">
      <alignment horizontal="center"/>
      <protection/>
    </xf>
    <xf numFmtId="2" fontId="6" fillId="41" borderId="27" xfId="0" applyNumberFormat="1" applyFont="1" applyFill="1" applyBorder="1" applyAlignment="1" applyProtection="1">
      <alignment horizontal="right"/>
      <protection/>
    </xf>
    <xf numFmtId="2" fontId="49" fillId="41" borderId="27" xfId="0" applyNumberFormat="1" applyFont="1" applyFill="1" applyBorder="1" applyAlignment="1" applyProtection="1">
      <alignment horizontal="right"/>
      <protection/>
    </xf>
    <xf numFmtId="2" fontId="49" fillId="41" borderId="28" xfId="0" applyNumberFormat="1" applyFont="1" applyFill="1" applyBorder="1" applyAlignment="1" applyProtection="1">
      <alignment horizontal="right"/>
      <protection/>
    </xf>
    <xf numFmtId="181" fontId="4" fillId="55" borderId="47" xfId="57" applyNumberFormat="1" applyFont="1" applyFill="1" applyBorder="1" applyAlignment="1" applyProtection="1">
      <alignment horizontal="center"/>
      <protection/>
    </xf>
    <xf numFmtId="181" fontId="4" fillId="55" borderId="42" xfId="57" applyNumberFormat="1" applyFont="1" applyFill="1" applyBorder="1" applyAlignment="1" applyProtection="1">
      <alignment horizontal="center"/>
      <protection/>
    </xf>
    <xf numFmtId="10" fontId="7" fillId="46" borderId="0" xfId="57" applyNumberFormat="1" applyFont="1" applyFill="1" applyBorder="1" applyAlignment="1" applyProtection="1">
      <alignment horizontal="center"/>
      <protection locked="0"/>
    </xf>
    <xf numFmtId="10" fontId="4" fillId="55" borderId="42" xfId="57" applyNumberFormat="1" applyFont="1" applyFill="1" applyBorder="1" applyAlignment="1" applyProtection="1">
      <alignment horizontal="center"/>
      <protection/>
    </xf>
    <xf numFmtId="10" fontId="7" fillId="44" borderId="0" xfId="57" applyNumberFormat="1" applyFont="1" applyFill="1" applyBorder="1" applyAlignment="1" applyProtection="1">
      <alignment horizontal="center"/>
      <protection/>
    </xf>
    <xf numFmtId="10" fontId="6" fillId="41" borderId="29" xfId="57" applyNumberFormat="1" applyFont="1" applyFill="1" applyBorder="1" applyAlignment="1" applyProtection="1">
      <alignment horizontal="center"/>
      <protection/>
    </xf>
    <xf numFmtId="10" fontId="6" fillId="46" borderId="29" xfId="57" applyNumberFormat="1" applyFont="1" applyFill="1" applyBorder="1" applyAlignment="1" applyProtection="1">
      <alignment horizontal="center"/>
      <protection/>
    </xf>
    <xf numFmtId="2" fontId="6" fillId="43" borderId="27" xfId="0" applyNumberFormat="1" applyFont="1" applyFill="1" applyBorder="1" applyAlignment="1" applyProtection="1">
      <alignment horizontal="right"/>
      <protection/>
    </xf>
    <xf numFmtId="2" fontId="10" fillId="43" borderId="27" xfId="0" applyNumberFormat="1" applyFont="1" applyFill="1" applyBorder="1" applyAlignment="1" applyProtection="1">
      <alignment horizontal="right"/>
      <protection/>
    </xf>
    <xf numFmtId="2" fontId="10" fillId="41" borderId="27" xfId="0" applyNumberFormat="1" applyFont="1" applyFill="1" applyBorder="1" applyAlignment="1" applyProtection="1">
      <alignment horizontal="right"/>
      <protection/>
    </xf>
    <xf numFmtId="2" fontId="6" fillId="43" borderId="28" xfId="0" applyNumberFormat="1" applyFont="1" applyFill="1" applyBorder="1" applyAlignment="1" applyProtection="1">
      <alignment/>
      <protection/>
    </xf>
    <xf numFmtId="2" fontId="6" fillId="43" borderId="29" xfId="0" applyNumberFormat="1" applyFont="1" applyFill="1" applyBorder="1" applyAlignment="1" applyProtection="1">
      <alignment/>
      <protection/>
    </xf>
    <xf numFmtId="2" fontId="49" fillId="43" borderId="29" xfId="0" applyNumberFormat="1" applyFont="1" applyFill="1" applyBorder="1" applyAlignment="1" applyProtection="1">
      <alignment horizontal="right"/>
      <protection/>
    </xf>
    <xf numFmtId="10" fontId="0" fillId="43" borderId="29" xfId="57" applyNumberFormat="1" applyFont="1" applyFill="1" applyBorder="1" applyAlignment="1" applyProtection="1">
      <alignment horizontal="center"/>
      <protection/>
    </xf>
    <xf numFmtId="2" fontId="6" fillId="43" borderId="34" xfId="0" applyNumberFormat="1" applyFont="1" applyFill="1" applyBorder="1" applyAlignment="1" applyProtection="1">
      <alignment/>
      <protection/>
    </xf>
    <xf numFmtId="2" fontId="6" fillId="41" borderId="0" xfId="0" applyNumberFormat="1" applyFont="1" applyFill="1" applyBorder="1" applyAlignment="1" applyProtection="1">
      <alignment horizontal="left"/>
      <protection/>
    </xf>
    <xf numFmtId="9" fontId="7" fillId="41" borderId="26" xfId="0" applyNumberFormat="1" applyFont="1" applyFill="1" applyBorder="1" applyAlignment="1" applyProtection="1">
      <alignment horizontal="center"/>
      <protection/>
    </xf>
    <xf numFmtId="2" fontId="49" fillId="41" borderId="29" xfId="0" applyNumberFormat="1" applyFont="1" applyFill="1" applyBorder="1" applyAlignment="1" applyProtection="1">
      <alignment horizontal="right"/>
      <protection/>
    </xf>
    <xf numFmtId="10" fontId="6" fillId="41" borderId="55" xfId="0" applyNumberFormat="1" applyFont="1" applyFill="1" applyBorder="1" applyAlignment="1" applyProtection="1">
      <alignment horizontal="center"/>
      <protection/>
    </xf>
    <xf numFmtId="39" fontId="14" fillId="0" borderId="0" xfId="42" applyNumberFormat="1" applyFont="1" applyFill="1" applyBorder="1" applyAlignment="1" applyProtection="1">
      <alignment horizontal="center"/>
      <protection/>
    </xf>
    <xf numFmtId="2" fontId="9" fillId="35" borderId="27" xfId="0" applyNumberFormat="1" applyFont="1" applyFill="1" applyBorder="1" applyAlignment="1" applyProtection="1">
      <alignment horizontal="right"/>
      <protection/>
    </xf>
    <xf numFmtId="2" fontId="38" fillId="41" borderId="0" xfId="0" applyNumberFormat="1" applyFont="1" applyFill="1" applyBorder="1" applyAlignment="1" applyProtection="1">
      <alignment horizontal="right"/>
      <protection/>
    </xf>
    <xf numFmtId="186" fontId="14" fillId="44" borderId="64" xfId="0" applyNumberFormat="1" applyFont="1" applyFill="1" applyBorder="1" applyAlignment="1" applyProtection="1">
      <alignment horizontal="center"/>
      <protection/>
    </xf>
    <xf numFmtId="186" fontId="0" fillId="46" borderId="65" xfId="0" applyNumberFormat="1" applyFill="1" applyBorder="1" applyAlignment="1" applyProtection="1">
      <alignment horizontal="center"/>
      <protection locked="0"/>
    </xf>
    <xf numFmtId="186" fontId="0" fillId="46" borderId="66" xfId="0" applyNumberFormat="1" applyFill="1" applyBorder="1" applyAlignment="1" applyProtection="1">
      <alignment horizontal="center"/>
      <protection locked="0"/>
    </xf>
    <xf numFmtId="2" fontId="0" fillId="51" borderId="65" xfId="0" applyNumberFormat="1" applyFill="1" applyBorder="1" applyAlignment="1" applyProtection="1">
      <alignment/>
      <protection/>
    </xf>
    <xf numFmtId="2" fontId="0" fillId="51" borderId="67" xfId="0" applyNumberFormat="1" applyFill="1" applyBorder="1" applyAlignment="1" applyProtection="1">
      <alignment/>
      <protection/>
    </xf>
    <xf numFmtId="2" fontId="0" fillId="51" borderId="66" xfId="0" applyNumberFormat="1" applyFill="1" applyBorder="1" applyAlignment="1" applyProtection="1">
      <alignment/>
      <protection/>
    </xf>
    <xf numFmtId="2" fontId="14" fillId="51" borderId="68" xfId="0" applyNumberFormat="1" applyFont="1" applyFill="1" applyBorder="1" applyAlignment="1" applyProtection="1">
      <alignment/>
      <protection/>
    </xf>
    <xf numFmtId="2" fontId="14" fillId="51" borderId="65" xfId="0" applyNumberFormat="1" applyFont="1" applyFill="1" applyBorder="1" applyAlignment="1" applyProtection="1">
      <alignment/>
      <protection/>
    </xf>
    <xf numFmtId="2" fontId="14" fillId="51" borderId="69" xfId="0" applyNumberFormat="1" applyFont="1" applyFill="1" applyBorder="1" applyAlignment="1" applyProtection="1">
      <alignment/>
      <protection/>
    </xf>
    <xf numFmtId="2" fontId="14" fillId="51" borderId="66" xfId="0" applyNumberFormat="1" applyFont="1" applyFill="1" applyBorder="1" applyAlignment="1" applyProtection="1">
      <alignment/>
      <protection/>
    </xf>
    <xf numFmtId="2" fontId="38" fillId="51" borderId="65" xfId="0" applyNumberFormat="1" applyFont="1" applyFill="1" applyBorder="1" applyAlignment="1" applyProtection="1">
      <alignment horizontal="right"/>
      <protection/>
    </xf>
    <xf numFmtId="2" fontId="38" fillId="51" borderId="66" xfId="0" applyNumberFormat="1" applyFont="1" applyFill="1" applyBorder="1" applyAlignment="1" applyProtection="1">
      <alignment horizontal="right"/>
      <protection/>
    </xf>
    <xf numFmtId="2" fontId="14" fillId="41" borderId="68" xfId="0" applyNumberFormat="1" applyFont="1" applyFill="1" applyBorder="1" applyAlignment="1" applyProtection="1">
      <alignment/>
      <protection/>
    </xf>
    <xf numFmtId="2" fontId="14" fillId="41" borderId="65" xfId="0" applyNumberFormat="1" applyFont="1" applyFill="1" applyBorder="1" applyAlignment="1" applyProtection="1">
      <alignment/>
      <protection/>
    </xf>
    <xf numFmtId="2" fontId="0" fillId="41" borderId="65" xfId="0" applyNumberFormat="1" applyFill="1" applyBorder="1" applyAlignment="1" applyProtection="1">
      <alignment/>
      <protection/>
    </xf>
    <xf numFmtId="2" fontId="38" fillId="41" borderId="65" xfId="0" applyNumberFormat="1" applyFont="1" applyFill="1" applyBorder="1" applyAlignment="1" applyProtection="1">
      <alignment horizontal="right"/>
      <protection/>
    </xf>
    <xf numFmtId="2" fontId="0" fillId="41" borderId="67" xfId="0" applyNumberFormat="1" applyFill="1" applyBorder="1" applyAlignment="1" applyProtection="1">
      <alignment/>
      <protection/>
    </xf>
    <xf numFmtId="2" fontId="14" fillId="41" borderId="69" xfId="0" applyNumberFormat="1" applyFont="1" applyFill="1" applyBorder="1" applyAlignment="1" applyProtection="1">
      <alignment/>
      <protection/>
    </xf>
    <xf numFmtId="2" fontId="14" fillId="41" borderId="66" xfId="0" applyNumberFormat="1" applyFont="1" applyFill="1" applyBorder="1" applyAlignment="1" applyProtection="1">
      <alignment/>
      <protection/>
    </xf>
    <xf numFmtId="2" fontId="0" fillId="41" borderId="66" xfId="0" applyNumberFormat="1" applyFill="1" applyBorder="1" applyAlignment="1" applyProtection="1">
      <alignment/>
      <protection/>
    </xf>
    <xf numFmtId="2" fontId="38" fillId="41" borderId="66" xfId="0" applyNumberFormat="1" applyFont="1" applyFill="1" applyBorder="1" applyAlignment="1" applyProtection="1">
      <alignment horizontal="right"/>
      <protection/>
    </xf>
    <xf numFmtId="2" fontId="34" fillId="43" borderId="30" xfId="0" applyNumberFormat="1" applyFont="1" applyFill="1" applyBorder="1" applyAlignment="1" applyProtection="1">
      <alignment horizontal="right"/>
      <protection/>
    </xf>
    <xf numFmtId="2" fontId="34" fillId="43" borderId="27" xfId="0" applyNumberFormat="1" applyFont="1" applyFill="1" applyBorder="1" applyAlignment="1" applyProtection="1">
      <alignment horizontal="right"/>
      <protection/>
    </xf>
    <xf numFmtId="2" fontId="34" fillId="43" borderId="28" xfId="0" applyNumberFormat="1" applyFont="1" applyFill="1" applyBorder="1" applyAlignment="1" applyProtection="1">
      <alignment horizontal="right"/>
      <protection/>
    </xf>
    <xf numFmtId="10" fontId="7" fillId="46" borderId="42" xfId="0" applyNumberFormat="1" applyFont="1" applyFill="1" applyBorder="1" applyAlignment="1" applyProtection="1">
      <alignment horizontal="center"/>
      <protection locked="0"/>
    </xf>
    <xf numFmtId="2" fontId="0" fillId="47" borderId="70" xfId="0" applyNumberFormat="1" applyFill="1" applyBorder="1" applyAlignment="1" applyProtection="1">
      <alignment/>
      <protection/>
    </xf>
    <xf numFmtId="4" fontId="14" fillId="48" borderId="31" xfId="0" applyNumberFormat="1" applyFont="1" applyFill="1" applyBorder="1" applyAlignment="1" applyProtection="1">
      <alignment horizontal="center"/>
      <protection locked="0"/>
    </xf>
    <xf numFmtId="4" fontId="14" fillId="48" borderId="47" xfId="0" applyNumberFormat="1" applyFont="1" applyFill="1" applyBorder="1" applyAlignment="1" applyProtection="1">
      <alignment horizontal="center"/>
      <protection locked="0"/>
    </xf>
    <xf numFmtId="2" fontId="7" fillId="44" borderId="71" xfId="0" applyNumberFormat="1" applyFont="1" applyFill="1" applyBorder="1" applyAlignment="1" applyProtection="1">
      <alignment horizontal="center"/>
      <protection/>
    </xf>
    <xf numFmtId="2" fontId="7" fillId="44" borderId="47" xfId="0" applyNumberFormat="1" applyFont="1" applyFill="1" applyBorder="1" applyAlignment="1" applyProtection="1">
      <alignment horizontal="center"/>
      <protection/>
    </xf>
    <xf numFmtId="10" fontId="14" fillId="44" borderId="42" xfId="0" applyNumberFormat="1" applyFont="1" applyFill="1" applyBorder="1" applyAlignment="1" applyProtection="1">
      <alignment horizontal="center"/>
      <protection/>
    </xf>
    <xf numFmtId="10" fontId="7" fillId="44" borderId="42" xfId="0" applyNumberFormat="1" applyFont="1" applyFill="1" applyBorder="1" applyAlignment="1" applyProtection="1">
      <alignment horizontal="center"/>
      <protection/>
    </xf>
    <xf numFmtId="172" fontId="7" fillId="44" borderId="42" xfId="0" applyNumberFormat="1" applyFont="1" applyFill="1" applyBorder="1" applyAlignment="1" applyProtection="1">
      <alignment horizontal="center"/>
      <protection/>
    </xf>
    <xf numFmtId="2" fontId="51" fillId="41" borderId="0" xfId="0" applyNumberFormat="1" applyFont="1" applyFill="1" applyBorder="1" applyAlignment="1" applyProtection="1">
      <alignment horizontal="right"/>
      <protection/>
    </xf>
    <xf numFmtId="2" fontId="52" fillId="48" borderId="0" xfId="0" applyNumberFormat="1" applyFont="1" applyFill="1" applyBorder="1" applyAlignment="1" applyProtection="1">
      <alignment/>
      <protection/>
    </xf>
    <xf numFmtId="189" fontId="4" fillId="55" borderId="15" xfId="42" applyNumberFormat="1" applyFont="1" applyFill="1" applyBorder="1" applyAlignment="1" applyProtection="1">
      <alignment horizontal="center"/>
      <protection/>
    </xf>
    <xf numFmtId="189" fontId="14" fillId="46" borderId="65" xfId="42" applyNumberFormat="1" applyFont="1" applyFill="1" applyBorder="1" applyAlignment="1" applyProtection="1">
      <alignment horizontal="center"/>
      <protection/>
    </xf>
    <xf numFmtId="189" fontId="14" fillId="46" borderId="66" xfId="42" applyNumberFormat="1" applyFont="1" applyFill="1" applyBorder="1" applyAlignment="1" applyProtection="1">
      <alignment horizontal="center"/>
      <protection/>
    </xf>
    <xf numFmtId="39" fontId="14" fillId="41" borderId="0" xfId="42" applyNumberFormat="1" applyFont="1" applyFill="1" applyBorder="1" applyAlignment="1" applyProtection="1">
      <alignment horizontal="center"/>
      <protection/>
    </xf>
    <xf numFmtId="9" fontId="15" fillId="44" borderId="0" xfId="0" applyNumberFormat="1" applyFont="1" applyFill="1" applyBorder="1" applyAlignment="1" applyProtection="1">
      <alignment horizontal="center"/>
      <protection/>
    </xf>
    <xf numFmtId="2" fontId="34" fillId="47" borderId="28" xfId="0" applyNumberFormat="1" applyFont="1" applyFill="1" applyBorder="1" applyAlignment="1" applyProtection="1">
      <alignment horizontal="right"/>
      <protection/>
    </xf>
    <xf numFmtId="2" fontId="34" fillId="41" borderId="29" xfId="0" applyNumberFormat="1" applyFont="1" applyFill="1" applyBorder="1" applyAlignment="1" applyProtection="1">
      <alignment horizontal="right"/>
      <protection/>
    </xf>
    <xf numFmtId="2" fontId="5" fillId="52" borderId="72" xfId="0" applyNumberFormat="1" applyFont="1" applyFill="1" applyBorder="1" applyAlignment="1" applyProtection="1">
      <alignment horizontal="center"/>
      <protection/>
    </xf>
    <xf numFmtId="2" fontId="5" fillId="52" borderId="73" xfId="0" applyNumberFormat="1" applyFont="1" applyFill="1" applyBorder="1" applyAlignment="1" applyProtection="1">
      <alignment horizontal="center"/>
      <protection/>
    </xf>
    <xf numFmtId="2" fontId="4" fillId="52" borderId="73" xfId="0" applyNumberFormat="1" applyFont="1" applyFill="1" applyBorder="1" applyAlignment="1" applyProtection="1">
      <alignment horizontal="center"/>
      <protection/>
    </xf>
    <xf numFmtId="2" fontId="5" fillId="52" borderId="74" xfId="0" applyNumberFormat="1" applyFont="1" applyFill="1" applyBorder="1" applyAlignment="1" applyProtection="1">
      <alignment horizontal="center"/>
      <protection/>
    </xf>
    <xf numFmtId="2" fontId="8" fillId="54" borderId="21" xfId="0" applyNumberFormat="1" applyFont="1" applyFill="1" applyBorder="1" applyAlignment="1" applyProtection="1">
      <alignment/>
      <protection/>
    </xf>
    <xf numFmtId="2" fontId="0" fillId="54" borderId="19" xfId="0" applyNumberFormat="1" applyFill="1" applyBorder="1" applyAlignment="1" applyProtection="1">
      <alignment/>
      <protection/>
    </xf>
    <xf numFmtId="10" fontId="6" fillId="44" borderId="19" xfId="0" applyNumberFormat="1" applyFont="1" applyFill="1" applyBorder="1" applyAlignment="1" applyProtection="1">
      <alignment horizontal="center"/>
      <protection/>
    </xf>
    <xf numFmtId="2" fontId="0" fillId="54" borderId="67" xfId="0" applyNumberFormat="1" applyFill="1" applyBorder="1" applyAlignment="1" applyProtection="1">
      <alignment/>
      <protection/>
    </xf>
    <xf numFmtId="2" fontId="0" fillId="53" borderId="75" xfId="0" applyNumberFormat="1" applyFill="1" applyBorder="1" applyAlignment="1" applyProtection="1">
      <alignment horizontal="right"/>
      <protection/>
    </xf>
    <xf numFmtId="2" fontId="14" fillId="46" borderId="76" xfId="0" applyNumberFormat="1" applyFont="1" applyFill="1" applyBorder="1" applyAlignment="1" applyProtection="1">
      <alignment horizontal="center"/>
      <protection locked="0"/>
    </xf>
    <xf numFmtId="2" fontId="0" fillId="53" borderId="77" xfId="0" applyNumberFormat="1" applyFill="1" applyBorder="1" applyAlignment="1" applyProtection="1">
      <alignment/>
      <protection/>
    </xf>
    <xf numFmtId="2" fontId="6" fillId="44" borderId="77" xfId="0" applyNumberFormat="1" applyFont="1" applyFill="1" applyBorder="1" applyAlignment="1" applyProtection="1">
      <alignment horizontal="center"/>
      <protection/>
    </xf>
    <xf numFmtId="2" fontId="0" fillId="53" borderId="69" xfId="0" applyNumberFormat="1" applyFill="1" applyBorder="1" applyAlignment="1" applyProtection="1">
      <alignment horizontal="right"/>
      <protection/>
    </xf>
    <xf numFmtId="3" fontId="6" fillId="44" borderId="66" xfId="0" applyNumberFormat="1" applyFont="1" applyFill="1" applyBorder="1" applyAlignment="1" applyProtection="1">
      <alignment horizontal="center"/>
      <protection/>
    </xf>
    <xf numFmtId="2" fontId="0" fillId="53" borderId="66" xfId="0" applyNumberFormat="1" applyFill="1" applyBorder="1" applyAlignment="1" applyProtection="1">
      <alignment/>
      <protection/>
    </xf>
    <xf numFmtId="2" fontId="6" fillId="53" borderId="66" xfId="0" applyNumberFormat="1" applyFont="1" applyFill="1" applyBorder="1" applyAlignment="1" applyProtection="1">
      <alignment/>
      <protection/>
    </xf>
    <xf numFmtId="9" fontId="6" fillId="60" borderId="66" xfId="0" applyNumberFormat="1" applyFont="1" applyFill="1" applyBorder="1" applyAlignment="1" applyProtection="1">
      <alignment horizontal="center"/>
      <protection/>
    </xf>
    <xf numFmtId="2" fontId="0" fillId="53" borderId="66" xfId="0" applyNumberFormat="1" applyFill="1" applyBorder="1" applyAlignment="1" applyProtection="1">
      <alignment horizontal="right"/>
      <protection/>
    </xf>
    <xf numFmtId="9" fontId="6" fillId="44" borderId="64" xfId="0" applyNumberFormat="1" applyFont="1" applyFill="1" applyBorder="1" applyAlignment="1" applyProtection="1">
      <alignment horizontal="center"/>
      <protection/>
    </xf>
    <xf numFmtId="2" fontId="14" fillId="51" borderId="49" xfId="0" applyNumberFormat="1" applyFont="1" applyFill="1" applyBorder="1" applyAlignment="1" applyProtection="1">
      <alignment horizontal="center"/>
      <protection/>
    </xf>
    <xf numFmtId="2" fontId="0" fillId="33" borderId="65" xfId="0" applyNumberFormat="1" applyFill="1" applyBorder="1" applyAlignment="1" applyProtection="1">
      <alignment/>
      <protection/>
    </xf>
    <xf numFmtId="2" fontId="0" fillId="33" borderId="67" xfId="0" applyNumberFormat="1" applyFill="1" applyBorder="1" applyAlignment="1" applyProtection="1">
      <alignment/>
      <protection/>
    </xf>
    <xf numFmtId="2" fontId="0" fillId="49" borderId="69" xfId="0" applyNumberFormat="1" applyFill="1" applyBorder="1" applyAlignment="1" applyProtection="1" quotePrefix="1">
      <alignment/>
      <protection locked="0"/>
    </xf>
    <xf numFmtId="2" fontId="0" fillId="49" borderId="0" xfId="0" applyNumberFormat="1" applyFill="1" applyBorder="1" applyAlignment="1" applyProtection="1">
      <alignment/>
      <protection/>
    </xf>
    <xf numFmtId="2" fontId="0" fillId="49" borderId="77" xfId="0" applyNumberFormat="1" applyFill="1" applyBorder="1" applyAlignment="1" applyProtection="1">
      <alignment/>
      <protection/>
    </xf>
    <xf numFmtId="2" fontId="0" fillId="49" borderId="66" xfId="0" applyNumberFormat="1" applyFill="1" applyBorder="1" applyAlignment="1" applyProtection="1">
      <alignment/>
      <protection/>
    </xf>
    <xf numFmtId="2" fontId="0" fillId="49" borderId="64" xfId="0" applyNumberFormat="1" applyFill="1" applyBorder="1" applyAlignment="1" applyProtection="1">
      <alignment/>
      <protection/>
    </xf>
    <xf numFmtId="2" fontId="0" fillId="47" borderId="68" xfId="0" applyNumberFormat="1" applyFill="1" applyBorder="1" applyAlignment="1" applyProtection="1">
      <alignment/>
      <protection/>
    </xf>
    <xf numFmtId="2" fontId="14" fillId="43" borderId="11" xfId="0" applyNumberFormat="1" applyFont="1" applyFill="1" applyBorder="1" applyAlignment="1" applyProtection="1">
      <alignment/>
      <protection/>
    </xf>
    <xf numFmtId="2" fontId="0" fillId="43" borderId="18" xfId="0" applyNumberFormat="1" applyFont="1" applyFill="1" applyBorder="1" applyAlignment="1" applyProtection="1">
      <alignment/>
      <protection/>
    </xf>
    <xf numFmtId="2" fontId="0" fillId="43" borderId="12" xfId="0" applyNumberFormat="1" applyFont="1" applyFill="1" applyBorder="1" applyAlignment="1" applyProtection="1">
      <alignment/>
      <protection/>
    </xf>
    <xf numFmtId="1" fontId="0" fillId="33" borderId="0" xfId="0" applyNumberFormat="1" applyFill="1" applyAlignment="1" applyProtection="1">
      <alignment horizontal="center"/>
      <protection/>
    </xf>
    <xf numFmtId="1" fontId="0" fillId="41" borderId="0" xfId="0" applyNumberFormat="1" applyFill="1" applyBorder="1" applyAlignment="1" applyProtection="1">
      <alignment horizontal="center"/>
      <protection/>
    </xf>
    <xf numFmtId="1" fontId="0" fillId="38" borderId="0" xfId="0" applyNumberFormat="1" applyFill="1" applyAlignment="1" applyProtection="1">
      <alignment horizontal="center"/>
      <protection/>
    </xf>
    <xf numFmtId="10" fontId="4" fillId="61" borderId="0" xfId="0" applyNumberFormat="1" applyFont="1" applyFill="1" applyAlignment="1" applyProtection="1">
      <alignment/>
      <protection/>
    </xf>
    <xf numFmtId="2" fontId="4" fillId="34" borderId="0" xfId="0" applyNumberFormat="1" applyFont="1" applyFill="1" applyAlignment="1" applyProtection="1">
      <alignment horizontal="center"/>
      <protection/>
    </xf>
    <xf numFmtId="10" fontId="14" fillId="49" borderId="0" xfId="0" applyNumberFormat="1" applyFont="1" applyFill="1" applyAlignment="1" applyProtection="1">
      <alignment/>
      <protection locked="0"/>
    </xf>
    <xf numFmtId="2" fontId="0" fillId="49" borderId="0" xfId="0" applyNumberFormat="1" applyFill="1" applyAlignment="1" applyProtection="1">
      <alignment/>
      <protection/>
    </xf>
    <xf numFmtId="2" fontId="59" fillId="39" borderId="0" xfId="0" applyNumberFormat="1" applyFont="1" applyFill="1" applyAlignment="1" applyProtection="1">
      <alignment/>
      <protection/>
    </xf>
    <xf numFmtId="2" fontId="5" fillId="55" borderId="0" xfId="0" applyNumberFormat="1" applyFont="1" applyFill="1" applyAlignment="1" applyProtection="1">
      <alignment/>
      <protection/>
    </xf>
    <xf numFmtId="2" fontId="4" fillId="55" borderId="0" xfId="0" applyNumberFormat="1" applyFont="1" applyFill="1" applyAlignment="1" applyProtection="1">
      <alignment/>
      <protection/>
    </xf>
    <xf numFmtId="181" fontId="5" fillId="55" borderId="0" xfId="0" applyNumberFormat="1" applyFont="1" applyFill="1" applyAlignment="1" applyProtection="1">
      <alignment/>
      <protection/>
    </xf>
    <xf numFmtId="2" fontId="4" fillId="55" borderId="0" xfId="0" applyNumberFormat="1" applyFont="1" applyFill="1" applyAlignment="1" applyProtection="1">
      <alignment horizontal="center"/>
      <protection/>
    </xf>
    <xf numFmtId="2" fontId="5" fillId="55" borderId="0" xfId="0" applyNumberFormat="1" applyFont="1" applyFill="1" applyAlignment="1" applyProtection="1">
      <alignment horizontal="right"/>
      <protection/>
    </xf>
    <xf numFmtId="2" fontId="4" fillId="55" borderId="0" xfId="0" applyNumberFormat="1" applyFont="1" applyFill="1" applyAlignment="1" applyProtection="1">
      <alignment horizontal="center"/>
      <protection locked="0"/>
    </xf>
    <xf numFmtId="2" fontId="5" fillId="55" borderId="0" xfId="0" applyNumberFormat="1" applyFont="1" applyFill="1" applyAlignment="1" applyProtection="1">
      <alignment horizontal="center"/>
      <protection/>
    </xf>
    <xf numFmtId="2" fontId="5" fillId="55" borderId="78" xfId="0" applyNumberFormat="1" applyFont="1" applyFill="1" applyBorder="1" applyAlignment="1" applyProtection="1">
      <alignment horizontal="center"/>
      <protection/>
    </xf>
    <xf numFmtId="2" fontId="5" fillId="55" borderId="78" xfId="0" applyNumberFormat="1" applyFont="1" applyFill="1" applyBorder="1" applyAlignment="1" applyProtection="1">
      <alignment horizontal="left"/>
      <protection/>
    </xf>
    <xf numFmtId="2" fontId="60" fillId="55" borderId="78" xfId="0" applyNumberFormat="1" applyFont="1" applyFill="1" applyBorder="1" applyAlignment="1" applyProtection="1">
      <alignment horizontal="center"/>
      <protection/>
    </xf>
    <xf numFmtId="2" fontId="61" fillId="49" borderId="15" xfId="0" applyNumberFormat="1" applyFont="1" applyFill="1" applyBorder="1" applyAlignment="1" applyProtection="1">
      <alignment horizontal="left"/>
      <protection locked="0"/>
    </xf>
    <xf numFmtId="2" fontId="61" fillId="49" borderId="79" xfId="0" applyNumberFormat="1" applyFont="1" applyFill="1" applyBorder="1" applyAlignment="1" applyProtection="1">
      <alignment horizontal="left"/>
      <protection locked="0"/>
    </xf>
    <xf numFmtId="2" fontId="61" fillId="49" borderId="26" xfId="0" applyNumberFormat="1" applyFont="1" applyFill="1" applyBorder="1" applyAlignment="1" applyProtection="1">
      <alignment/>
      <protection locked="0"/>
    </xf>
    <xf numFmtId="175" fontId="10" fillId="50" borderId="45" xfId="0" applyNumberFormat="1" applyFont="1" applyFill="1" applyBorder="1" applyAlignment="1" applyProtection="1">
      <alignment horizontal="left"/>
      <protection locked="0"/>
    </xf>
    <xf numFmtId="2" fontId="0" fillId="47" borderId="65" xfId="0" applyNumberFormat="1" applyFill="1" applyBorder="1" applyAlignment="1" applyProtection="1">
      <alignment/>
      <protection/>
    </xf>
    <xf numFmtId="172" fontId="0" fillId="43" borderId="25" xfId="0" applyNumberFormat="1" applyFill="1" applyBorder="1" applyAlignment="1" applyProtection="1">
      <alignment/>
      <protection/>
    </xf>
    <xf numFmtId="2" fontId="0" fillId="49" borderId="27" xfId="0" applyNumberFormat="1" applyFill="1" applyBorder="1" applyAlignment="1" applyProtection="1" quotePrefix="1">
      <alignment/>
      <protection locked="0"/>
    </xf>
    <xf numFmtId="2" fontId="0" fillId="49" borderId="80" xfId="0" applyNumberFormat="1" applyFill="1" applyBorder="1" applyAlignment="1" applyProtection="1" quotePrefix="1">
      <alignment/>
      <protection locked="0"/>
    </xf>
    <xf numFmtId="2" fontId="10" fillId="46" borderId="26" xfId="0" applyNumberFormat="1" applyFont="1" applyFill="1" applyBorder="1" applyAlignment="1" applyProtection="1">
      <alignment/>
      <protection locked="0"/>
    </xf>
    <xf numFmtId="2" fontId="49" fillId="43" borderId="26" xfId="0" applyNumberFormat="1" applyFont="1" applyFill="1" applyBorder="1" applyAlignment="1" applyProtection="1">
      <alignment/>
      <protection locked="0"/>
    </xf>
    <xf numFmtId="2" fontId="0" fillId="46" borderId="0" xfId="0" applyNumberFormat="1" applyFont="1" applyFill="1" applyBorder="1" applyAlignment="1" applyProtection="1">
      <alignment horizontal="left"/>
      <protection/>
    </xf>
    <xf numFmtId="2" fontId="6" fillId="46" borderId="0" xfId="0" applyNumberFormat="1" applyFont="1" applyFill="1" applyBorder="1" applyAlignment="1" applyProtection="1" quotePrefix="1">
      <alignment horizontal="left"/>
      <protection locked="0"/>
    </xf>
    <xf numFmtId="2" fontId="49" fillId="46" borderId="0" xfId="0" applyNumberFormat="1" applyFont="1" applyFill="1" applyAlignment="1" applyProtection="1">
      <alignment/>
      <protection locked="0"/>
    </xf>
    <xf numFmtId="2" fontId="49" fillId="46" borderId="0" xfId="0" applyNumberFormat="1" applyFont="1" applyFill="1" applyBorder="1" applyAlignment="1" applyProtection="1">
      <alignment horizontal="left"/>
      <protection locked="0"/>
    </xf>
    <xf numFmtId="2" fontId="6" fillId="46" borderId="24" xfId="0" applyNumberFormat="1" applyFont="1" applyFill="1" applyBorder="1" applyAlignment="1" applyProtection="1" quotePrefix="1">
      <alignment/>
      <protection locked="0"/>
    </xf>
    <xf numFmtId="2" fontId="6" fillId="46" borderId="29" xfId="0" applyNumberFormat="1" applyFont="1" applyFill="1" applyBorder="1" applyAlignment="1" applyProtection="1" quotePrefix="1">
      <alignment/>
      <protection locked="0"/>
    </xf>
    <xf numFmtId="2" fontId="6" fillId="46" borderId="0" xfId="0" applyNumberFormat="1" applyFont="1" applyFill="1" applyBorder="1" applyAlignment="1" applyProtection="1" quotePrefix="1">
      <alignment/>
      <protection locked="0"/>
    </xf>
    <xf numFmtId="2" fontId="6" fillId="46" borderId="36" xfId="0" applyNumberFormat="1" applyFont="1" applyFill="1" applyBorder="1" applyAlignment="1" applyProtection="1" quotePrefix="1">
      <alignment/>
      <protection locked="0"/>
    </xf>
    <xf numFmtId="2" fontId="0" fillId="41" borderId="71" xfId="0" applyNumberFormat="1" applyFill="1" applyBorder="1" applyAlignment="1" applyProtection="1">
      <alignment horizontal="center"/>
      <protection/>
    </xf>
    <xf numFmtId="2" fontId="0" fillId="49" borderId="66" xfId="0" applyNumberFormat="1" applyFill="1" applyBorder="1" applyAlignment="1" applyProtection="1">
      <alignment horizontal="left"/>
      <protection locked="0"/>
    </xf>
    <xf numFmtId="172" fontId="7" fillId="44" borderId="42" xfId="0" applyNumberFormat="1" applyFont="1" applyFill="1" applyBorder="1" applyAlignment="1" applyProtection="1">
      <alignment horizontal="center"/>
      <protection/>
    </xf>
    <xf numFmtId="2" fontId="38" fillId="35" borderId="0" xfId="0" applyNumberFormat="1" applyFont="1" applyFill="1" applyBorder="1" applyAlignment="1" applyProtection="1">
      <alignment horizontal="right"/>
      <protection/>
    </xf>
    <xf numFmtId="2" fontId="62" fillId="35" borderId="29" xfId="0" applyNumberFormat="1" applyFont="1" applyFill="1" applyBorder="1" applyAlignment="1" applyProtection="1">
      <alignment horizontal="right"/>
      <protection/>
    </xf>
    <xf numFmtId="177" fontId="0" fillId="49" borderId="55" xfId="42" applyNumberFormat="1" applyFont="1" applyFill="1" applyBorder="1" applyAlignment="1" applyProtection="1">
      <alignment horizontal="right"/>
      <protection locked="0"/>
    </xf>
    <xf numFmtId="181" fontId="5" fillId="55" borderId="0" xfId="57" applyNumberFormat="1" applyFont="1" applyFill="1" applyAlignment="1" applyProtection="1">
      <alignment/>
      <protection/>
    </xf>
    <xf numFmtId="0" fontId="0" fillId="0" borderId="0" xfId="0" applyAlignment="1">
      <alignment horizontal="right"/>
    </xf>
    <xf numFmtId="0" fontId="0" fillId="0" borderId="0" xfId="0" applyAlignment="1">
      <alignment horizontal="center"/>
    </xf>
    <xf numFmtId="181" fontId="0" fillId="46" borderId="0" xfId="57" applyNumberFormat="1" applyFont="1" applyFill="1" applyAlignment="1">
      <alignment horizontal="center"/>
    </xf>
    <xf numFmtId="0" fontId="63" fillId="0" borderId="0" xfId="0" applyFont="1" applyAlignment="1">
      <alignment/>
    </xf>
    <xf numFmtId="10" fontId="63" fillId="0" borderId="0" xfId="57" applyNumberFormat="1" applyFont="1" applyAlignment="1">
      <alignment/>
    </xf>
    <xf numFmtId="180" fontId="63" fillId="0" borderId="0" xfId="42" applyNumberFormat="1" applyFont="1" applyAlignment="1">
      <alignment/>
    </xf>
    <xf numFmtId="180" fontId="63" fillId="51" borderId="0" xfId="42"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 Counts and Measures, Optimal @ Ratio</a:t>
            </a:r>
          </a:p>
        </c:rich>
      </c:tx>
      <c:layout>
        <c:manualLayout>
          <c:xMode val="factor"/>
          <c:yMode val="factor"/>
          <c:x val="-0.0415"/>
          <c:y val="0.002"/>
        </c:manualLayout>
      </c:layout>
      <c:spPr>
        <a:noFill/>
        <a:ln>
          <a:noFill/>
        </a:ln>
      </c:spPr>
    </c:title>
    <c:plotArea>
      <c:layout>
        <c:manualLayout>
          <c:xMode val="edge"/>
          <c:yMode val="edge"/>
          <c:x val="0.04675"/>
          <c:y val="0.11825"/>
          <c:w val="0.927"/>
          <c:h val="0.8195"/>
        </c:manualLayout>
      </c:layout>
      <c:scatterChart>
        <c:scatterStyle val="smoothMarker"/>
        <c:varyColors val="0"/>
        <c:ser>
          <c:idx val="2"/>
          <c:order val="0"/>
          <c:tx>
            <c:v># of Counts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'Data Entry'!$R$4:$R$27</c:f>
              <c:numCache>
                <c:ptCount val="24"/>
                <c:pt idx="0">
                  <c:v>0.03249999999999997</c:v>
                </c:pt>
                <c:pt idx="1">
                  <c:v>0.034999999999999976</c:v>
                </c:pt>
                <c:pt idx="2">
                  <c:v>0.03749999999999998</c:v>
                </c:pt>
                <c:pt idx="3">
                  <c:v>0.03999999999999998</c:v>
                </c:pt>
                <c:pt idx="4">
                  <c:v>0.04249999999999998</c:v>
                </c:pt>
                <c:pt idx="5">
                  <c:v>0.044999999999999984</c:v>
                </c:pt>
                <c:pt idx="6">
                  <c:v>0.04749999999999999</c:v>
                </c:pt>
                <c:pt idx="7">
                  <c:v>0.04999999999999999</c:v>
                </c:pt>
                <c:pt idx="8">
                  <c:v>0.05249999999999999</c:v>
                </c:pt>
                <c:pt idx="9">
                  <c:v>0.05499999999999999</c:v>
                </c:pt>
                <c:pt idx="10">
                  <c:v>0.057499999999999996</c:v>
                </c:pt>
                <c:pt idx="11">
                  <c:v>0.06</c:v>
                </c:pt>
                <c:pt idx="12">
                  <c:v>0.0625</c:v>
                </c:pt>
                <c:pt idx="13">
                  <c:v>0.065</c:v>
                </c:pt>
                <c:pt idx="14">
                  <c:v>0.0675</c:v>
                </c:pt>
                <c:pt idx="15">
                  <c:v>0.07</c:v>
                </c:pt>
                <c:pt idx="16">
                  <c:v>0.07250000000000001</c:v>
                </c:pt>
                <c:pt idx="17">
                  <c:v>0.07500000000000001</c:v>
                </c:pt>
                <c:pt idx="18">
                  <c:v>0.07750000000000001</c:v>
                </c:pt>
                <c:pt idx="19">
                  <c:v>0.08000000000000002</c:v>
                </c:pt>
                <c:pt idx="20">
                  <c:v>0.08250000000000002</c:v>
                </c:pt>
                <c:pt idx="21">
                  <c:v>0.08500000000000002</c:v>
                </c:pt>
                <c:pt idx="22">
                  <c:v>0.08750000000000002</c:v>
                </c:pt>
                <c:pt idx="23">
                  <c:v>0.09000000000000002</c:v>
                </c:pt>
              </c:numCache>
            </c:numRef>
          </c:xVal>
          <c:yVal>
            <c:numRef>
              <c:f>'Data Entry'!$U$4:$U$27</c:f>
              <c:numCache>
                <c:ptCount val="24"/>
                <c:pt idx="0">
                  <c:v>115.8715740606279</c:v>
                </c:pt>
                <c:pt idx="1">
                  <c:v>99.90967355227606</c:v>
                </c:pt>
                <c:pt idx="2">
                  <c:v>87.03242673887156</c:v>
                </c:pt>
                <c:pt idx="3">
                  <c:v>76.49334381346134</c:v>
                </c:pt>
                <c:pt idx="4">
                  <c:v>67.75880974479618</c:v>
                </c:pt>
                <c:pt idx="5">
                  <c:v>60.43918523532746</c:v>
                </c:pt>
                <c:pt idx="6">
                  <c:v>54.24458730262075</c:v>
                </c:pt>
                <c:pt idx="7">
                  <c:v>48.95574004061523</c:v>
                </c:pt>
                <c:pt idx="8">
                  <c:v>44.40429935656709</c:v>
                </c:pt>
                <c:pt idx="9">
                  <c:v>40.45928928976464</c:v>
                </c:pt>
                <c:pt idx="10">
                  <c:v>37.01757280953892</c:v>
                </c:pt>
                <c:pt idx="11">
                  <c:v>33.99704169487167</c:v>
                </c:pt>
                <c:pt idx="12">
                  <c:v>31.33167362599373</c:v>
                </c:pt>
                <c:pt idx="13">
                  <c:v>28.967893515156923</c:v>
                </c:pt>
                <c:pt idx="14">
                  <c:v>26.861860104589958</c:v>
                </c:pt>
                <c:pt idx="15">
                  <c:v>24.977418388068976</c:v>
                </c:pt>
                <c:pt idx="16">
                  <c:v>23.284537474727795</c:v>
                </c:pt>
                <c:pt idx="17">
                  <c:v>21.75810668471786</c:v>
                </c:pt>
                <c:pt idx="18">
                  <c:v>20.37699897632266</c:v>
                </c:pt>
                <c:pt idx="19">
                  <c:v>19.123335953365306</c:v>
                </c:pt>
                <c:pt idx="20">
                  <c:v>17.981906351006494</c:v>
                </c:pt>
                <c:pt idx="21">
                  <c:v>16.939702436199028</c:v>
                </c:pt>
                <c:pt idx="22">
                  <c:v>15.98554776836414</c:v>
                </c:pt>
                <c:pt idx="23">
                  <c:v>15.109796308831845</c:v>
                </c:pt>
              </c:numCache>
            </c:numRef>
          </c:yVal>
          <c:smooth val="1"/>
        </c:ser>
        <c:ser>
          <c:idx val="0"/>
          <c:order val="1"/>
          <c:tx>
            <c:v># of *BARS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noFill/>
              <a:ln>
                <a:solidFill>
                  <a:srgbClr val="000000"/>
                </a:solidFill>
              </a:ln>
            </c:spPr>
          </c:marker>
          <c:xVal>
            <c:numRef>
              <c:f>'Data Entry'!$R$4:$R$27</c:f>
              <c:numCache>
                <c:ptCount val="24"/>
                <c:pt idx="0">
                  <c:v>0.03249999999999997</c:v>
                </c:pt>
                <c:pt idx="1">
                  <c:v>0.034999999999999976</c:v>
                </c:pt>
                <c:pt idx="2">
                  <c:v>0.03749999999999998</c:v>
                </c:pt>
                <c:pt idx="3">
                  <c:v>0.03999999999999998</c:v>
                </c:pt>
                <c:pt idx="4">
                  <c:v>0.04249999999999998</c:v>
                </c:pt>
                <c:pt idx="5">
                  <c:v>0.044999999999999984</c:v>
                </c:pt>
                <c:pt idx="6">
                  <c:v>0.04749999999999999</c:v>
                </c:pt>
                <c:pt idx="7">
                  <c:v>0.04999999999999999</c:v>
                </c:pt>
                <c:pt idx="8">
                  <c:v>0.05249999999999999</c:v>
                </c:pt>
                <c:pt idx="9">
                  <c:v>0.05499999999999999</c:v>
                </c:pt>
                <c:pt idx="10">
                  <c:v>0.057499999999999996</c:v>
                </c:pt>
                <c:pt idx="11">
                  <c:v>0.06</c:v>
                </c:pt>
                <c:pt idx="12">
                  <c:v>0.0625</c:v>
                </c:pt>
                <c:pt idx="13">
                  <c:v>0.065</c:v>
                </c:pt>
                <c:pt idx="14">
                  <c:v>0.0675</c:v>
                </c:pt>
                <c:pt idx="15">
                  <c:v>0.07</c:v>
                </c:pt>
                <c:pt idx="16">
                  <c:v>0.07250000000000001</c:v>
                </c:pt>
                <c:pt idx="17">
                  <c:v>0.07500000000000001</c:v>
                </c:pt>
                <c:pt idx="18">
                  <c:v>0.07750000000000001</c:v>
                </c:pt>
                <c:pt idx="19">
                  <c:v>0.08000000000000002</c:v>
                </c:pt>
                <c:pt idx="20">
                  <c:v>0.08250000000000002</c:v>
                </c:pt>
                <c:pt idx="21">
                  <c:v>0.08500000000000002</c:v>
                </c:pt>
                <c:pt idx="22">
                  <c:v>0.08750000000000002</c:v>
                </c:pt>
                <c:pt idx="23">
                  <c:v>0.09000000000000002</c:v>
                </c:pt>
              </c:numCache>
            </c:numRef>
          </c:xVal>
          <c:yVal>
            <c:numRef>
              <c:f>'Data Entry'!$T$4:$T$27</c:f>
              <c:numCache>
                <c:ptCount val="24"/>
                <c:pt idx="0">
                  <c:v>125.10016596886555</c:v>
                </c:pt>
                <c:pt idx="1">
                  <c:v>107.86697984050137</c:v>
                </c:pt>
                <c:pt idx="2">
                  <c:v>93.96412466105895</c:v>
                </c:pt>
                <c:pt idx="3">
                  <c:v>82.58565644038384</c:v>
                </c:pt>
                <c:pt idx="4">
                  <c:v>73.15546037625695</c:v>
                </c:pt>
                <c:pt idx="5">
                  <c:v>65.25286434795758</c:v>
                </c:pt>
                <c:pt idx="6">
                  <c:v>58.564897641934216</c:v>
                </c:pt>
                <c:pt idx="7">
                  <c:v>52.854820121845634</c:v>
                </c:pt>
                <c:pt idx="8">
                  <c:v>47.94087992911167</c:v>
                </c:pt>
                <c:pt idx="9">
                  <c:v>43.68166952218646</c:v>
                </c:pt>
                <c:pt idx="10">
                  <c:v>39.965837521244325</c:v>
                </c:pt>
                <c:pt idx="11">
                  <c:v>36.70473619572611</c:v>
                </c:pt>
                <c:pt idx="12">
                  <c:v>33.827084877981186</c:v>
                </c:pt>
                <c:pt idx="13">
                  <c:v>31.27504149221633</c:v>
                </c:pt>
                <c:pt idx="14">
                  <c:v>29.00127304353668</c:v>
                </c:pt>
                <c:pt idx="15">
                  <c:v>26.966744960125304</c:v>
                </c:pt>
                <c:pt idx="16">
                  <c:v>25.13903454071134</c:v>
                </c:pt>
                <c:pt idx="17">
                  <c:v>23.491031165264705</c:v>
                </c:pt>
                <c:pt idx="18">
                  <c:v>21.99992512875987</c:v>
                </c:pt>
                <c:pt idx="19">
                  <c:v>20.64641411009593</c:v>
                </c:pt>
                <c:pt idx="20">
                  <c:v>19.414075343193968</c:v>
                </c:pt>
                <c:pt idx="21">
                  <c:v>18.288865094064217</c:v>
                </c:pt>
                <c:pt idx="22">
                  <c:v>17.258716774480188</c:v>
                </c:pt>
                <c:pt idx="23">
                  <c:v>16.313216086989375</c:v>
                </c:pt>
              </c:numCache>
            </c:numRef>
          </c:yVal>
          <c:smooth val="1"/>
        </c:ser>
        <c:axId val="39046322"/>
        <c:axId val="15872579"/>
      </c:scatterChart>
      <c:valAx>
        <c:axId val="39046322"/>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Overall SE% Desired</a:t>
                </a:r>
              </a:p>
            </c:rich>
          </c:tx>
          <c:layout>
            <c:manualLayout>
              <c:xMode val="factor"/>
              <c:yMode val="factor"/>
              <c:x val="0"/>
              <c:y val="0.001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5872579"/>
        <c:crosses val="autoZero"/>
        <c:crossBetween val="midCat"/>
        <c:dispUnits/>
        <c:majorUnit val="0.01"/>
        <c:minorUnit val="0.01"/>
      </c:valAx>
      <c:valAx>
        <c:axId val="15872579"/>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Number</a:t>
                </a:r>
              </a:p>
            </c:rich>
          </c:tx>
          <c:layout>
            <c:manualLayout>
              <c:xMode val="factor"/>
              <c:yMode val="factor"/>
              <c:x val="-0.00175"/>
              <c:y val="-0.002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9046322"/>
        <c:crosses val="autoZero"/>
        <c:crossBetween val="midCat"/>
        <c:dispUnits/>
      </c:valAx>
      <c:spPr>
        <a:solidFill>
          <a:srgbClr val="FFFFFF"/>
        </a:solidFill>
        <a:ln w="3175">
          <a:solidFill>
            <a:srgbClr val="000000"/>
          </a:solidFill>
        </a:ln>
      </c:spPr>
    </c:plotArea>
    <c:legend>
      <c:legendPos val="r"/>
      <c:layout>
        <c:manualLayout>
          <c:xMode val="edge"/>
          <c:yMode val="edge"/>
          <c:x val="0.7695"/>
          <c:y val="0.02"/>
          <c:w val="0.15925"/>
          <c:h val="0.0937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Plots needed for SE% (ALL trees measured)</a:t>
            </a:r>
          </a:p>
        </c:rich>
      </c:tx>
      <c:layout>
        <c:manualLayout>
          <c:xMode val="factor"/>
          <c:yMode val="factor"/>
          <c:x val="-0.114"/>
          <c:y val="-0.012"/>
        </c:manualLayout>
      </c:layout>
      <c:spPr>
        <a:noFill/>
        <a:ln>
          <a:noFill/>
        </a:ln>
      </c:spPr>
    </c:title>
    <c:plotArea>
      <c:layout>
        <c:manualLayout>
          <c:xMode val="edge"/>
          <c:yMode val="edge"/>
          <c:x val="0.0415"/>
          <c:y val="0.09675"/>
          <c:w val="0.93325"/>
          <c:h val="0.86125"/>
        </c:manualLayout>
      </c:layout>
      <c:scatterChart>
        <c:scatterStyle val="smoothMarker"/>
        <c:varyColors val="0"/>
        <c:ser>
          <c:idx val="2"/>
          <c:order val="0"/>
          <c:tx>
            <c:v># of Sample Points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'Data Entry'!$R$4:$R$27</c:f>
              <c:numCache>
                <c:ptCount val="24"/>
                <c:pt idx="0">
                  <c:v>0.03249999999999997</c:v>
                </c:pt>
                <c:pt idx="1">
                  <c:v>0.034999999999999976</c:v>
                </c:pt>
                <c:pt idx="2">
                  <c:v>0.03749999999999998</c:v>
                </c:pt>
                <c:pt idx="3">
                  <c:v>0.03999999999999998</c:v>
                </c:pt>
                <c:pt idx="4">
                  <c:v>0.04249999999999998</c:v>
                </c:pt>
                <c:pt idx="5">
                  <c:v>0.044999999999999984</c:v>
                </c:pt>
                <c:pt idx="6">
                  <c:v>0.04749999999999999</c:v>
                </c:pt>
                <c:pt idx="7">
                  <c:v>0.04999999999999999</c:v>
                </c:pt>
                <c:pt idx="8">
                  <c:v>0.05249999999999999</c:v>
                </c:pt>
                <c:pt idx="9">
                  <c:v>0.05499999999999999</c:v>
                </c:pt>
                <c:pt idx="10">
                  <c:v>0.057499999999999996</c:v>
                </c:pt>
                <c:pt idx="11">
                  <c:v>0.06</c:v>
                </c:pt>
                <c:pt idx="12">
                  <c:v>0.0625</c:v>
                </c:pt>
                <c:pt idx="13">
                  <c:v>0.065</c:v>
                </c:pt>
                <c:pt idx="14">
                  <c:v>0.0675</c:v>
                </c:pt>
                <c:pt idx="15">
                  <c:v>0.07</c:v>
                </c:pt>
                <c:pt idx="16">
                  <c:v>0.07250000000000001</c:v>
                </c:pt>
                <c:pt idx="17">
                  <c:v>0.07500000000000001</c:v>
                </c:pt>
                <c:pt idx="18">
                  <c:v>0.07750000000000001</c:v>
                </c:pt>
                <c:pt idx="19">
                  <c:v>0.08000000000000002</c:v>
                </c:pt>
                <c:pt idx="20">
                  <c:v>0.08250000000000002</c:v>
                </c:pt>
                <c:pt idx="21">
                  <c:v>0.08500000000000002</c:v>
                </c:pt>
                <c:pt idx="22">
                  <c:v>0.08750000000000002</c:v>
                </c:pt>
                <c:pt idx="23">
                  <c:v>0.09000000000000002</c:v>
                </c:pt>
              </c:numCache>
            </c:numRef>
          </c:xVal>
          <c:yVal>
            <c:numRef>
              <c:f>'Data Entry'!$AC$4:$AC$27</c:f>
              <c:numCache>
                <c:ptCount val="24"/>
                <c:pt idx="0">
                  <c:v>90.72489151873782</c:v>
                </c:pt>
                <c:pt idx="1">
                  <c:v>78.22707482993208</c:v>
                </c:pt>
                <c:pt idx="2">
                  <c:v>68.14447407407414</c:v>
                </c:pt>
                <c:pt idx="3">
                  <c:v>59.89260416666673</c:v>
                </c:pt>
                <c:pt idx="4">
                  <c:v>53.053656286043875</c:v>
                </c:pt>
                <c:pt idx="5">
                  <c:v>47.32255144032925</c:v>
                </c:pt>
                <c:pt idx="6">
                  <c:v>42.47231763619577</c:v>
                </c:pt>
                <c:pt idx="7">
                  <c:v>38.331266666666686</c:v>
                </c:pt>
                <c:pt idx="8">
                  <c:v>34.76758881330311</c:v>
                </c:pt>
                <c:pt idx="9">
                  <c:v>31.678732782369153</c:v>
                </c:pt>
                <c:pt idx="10">
                  <c:v>28.983944549464404</c:v>
                </c:pt>
                <c:pt idx="11">
                  <c:v>26.618935185185183</c:v>
                </c:pt>
                <c:pt idx="12">
                  <c:v>24.532010666666665</c:v>
                </c:pt>
                <c:pt idx="13">
                  <c:v>22.681222879684412</c:v>
                </c:pt>
                <c:pt idx="14">
                  <c:v>21.03224508459076</c:v>
                </c:pt>
                <c:pt idx="15">
                  <c:v>19.556768707482988</c:v>
                </c:pt>
                <c:pt idx="16">
                  <c:v>18.23128022195798</c:v>
                </c:pt>
                <c:pt idx="17">
                  <c:v>17.036118518518514</c:v>
                </c:pt>
                <c:pt idx="18">
                  <c:v>15.954741588622955</c:v>
                </c:pt>
                <c:pt idx="19">
                  <c:v>14.973151041666657</c:v>
                </c:pt>
                <c:pt idx="20">
                  <c:v>14.079436792164056</c:v>
                </c:pt>
                <c:pt idx="21">
                  <c:v>13.263414071510951</c:v>
                </c:pt>
                <c:pt idx="22">
                  <c:v>12.516331972789107</c:v>
                </c:pt>
                <c:pt idx="23">
                  <c:v>11.830637860082298</c:v>
                </c:pt>
              </c:numCache>
            </c:numRef>
          </c:yVal>
          <c:smooth val="1"/>
        </c:ser>
        <c:axId val="8635484"/>
        <c:axId val="10610493"/>
      </c:scatterChart>
      <c:valAx>
        <c:axId val="8635484"/>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Overall SE% Desired</a:t>
                </a:r>
              </a:p>
            </c:rich>
          </c:tx>
          <c:layout>
            <c:manualLayout>
              <c:xMode val="factor"/>
              <c:yMode val="factor"/>
              <c:x val="0.00575"/>
              <c:y val="0.001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0610493"/>
        <c:crosses val="autoZero"/>
        <c:crossBetween val="midCat"/>
        <c:dispUnits/>
        <c:majorUnit val="0.01"/>
        <c:minorUnit val="0.01"/>
      </c:valAx>
      <c:valAx>
        <c:axId val="10610493"/>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Number of sample points</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8635484"/>
        <c:crosses val="autoZero"/>
        <c:crossBetween val="midCat"/>
        <c:dispUnits/>
      </c:valAx>
      <c:spPr>
        <a:solidFill>
          <a:srgbClr val="FFFFFF"/>
        </a:solidFill>
        <a:ln w="3175">
          <a:solidFill>
            <a:srgbClr val="000000"/>
          </a:solidFill>
        </a:ln>
      </c:spPr>
    </c:plotArea>
    <c:legend>
      <c:legendPos val="t"/>
      <c:layout>
        <c:manualLayout>
          <c:xMode val="edge"/>
          <c:yMode val="edge"/>
          <c:x val="0.73075"/>
          <c:y val="0.014"/>
          <c:w val="0.2155"/>
          <c:h val="0.0457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COST of SE%, Optimal Ratio</a:t>
            </a:r>
          </a:p>
        </c:rich>
      </c:tx>
      <c:layout>
        <c:manualLayout>
          <c:xMode val="factor"/>
          <c:yMode val="factor"/>
          <c:x val="-0.0925"/>
          <c:y val="-0.02"/>
        </c:manualLayout>
      </c:layout>
      <c:spPr>
        <a:noFill/>
        <a:ln>
          <a:noFill/>
        </a:ln>
      </c:spPr>
    </c:title>
    <c:plotArea>
      <c:layout>
        <c:manualLayout>
          <c:xMode val="edge"/>
          <c:yMode val="edge"/>
          <c:x val="0.04225"/>
          <c:y val="0.043"/>
          <c:w val="0.93425"/>
          <c:h val="0.90375"/>
        </c:manualLayout>
      </c:layout>
      <c:scatterChart>
        <c:scatterStyle val="smoothMarker"/>
        <c:varyColors val="0"/>
        <c:ser>
          <c:idx val="2"/>
          <c:order val="0"/>
          <c:tx>
            <c:v>Cost for cruise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xVal>
            <c:numRef>
              <c:f>'Data Entry'!$R$4:$R$27</c:f>
              <c:numCache>
                <c:ptCount val="24"/>
                <c:pt idx="0">
                  <c:v>0.03249999999999997</c:v>
                </c:pt>
                <c:pt idx="1">
                  <c:v>0.034999999999999976</c:v>
                </c:pt>
                <c:pt idx="2">
                  <c:v>0.03749999999999998</c:v>
                </c:pt>
                <c:pt idx="3">
                  <c:v>0.03999999999999998</c:v>
                </c:pt>
                <c:pt idx="4">
                  <c:v>0.04249999999999998</c:v>
                </c:pt>
                <c:pt idx="5">
                  <c:v>0.044999999999999984</c:v>
                </c:pt>
                <c:pt idx="6">
                  <c:v>0.04749999999999999</c:v>
                </c:pt>
                <c:pt idx="7">
                  <c:v>0.04999999999999999</c:v>
                </c:pt>
                <c:pt idx="8">
                  <c:v>0.05249999999999999</c:v>
                </c:pt>
                <c:pt idx="9">
                  <c:v>0.05499999999999999</c:v>
                </c:pt>
                <c:pt idx="10">
                  <c:v>0.057499999999999996</c:v>
                </c:pt>
                <c:pt idx="11">
                  <c:v>0.06</c:v>
                </c:pt>
                <c:pt idx="12">
                  <c:v>0.0625</c:v>
                </c:pt>
                <c:pt idx="13">
                  <c:v>0.065</c:v>
                </c:pt>
                <c:pt idx="14">
                  <c:v>0.0675</c:v>
                </c:pt>
                <c:pt idx="15">
                  <c:v>0.07</c:v>
                </c:pt>
                <c:pt idx="16">
                  <c:v>0.07250000000000001</c:v>
                </c:pt>
                <c:pt idx="17">
                  <c:v>0.07500000000000001</c:v>
                </c:pt>
                <c:pt idx="18">
                  <c:v>0.07750000000000001</c:v>
                </c:pt>
                <c:pt idx="19">
                  <c:v>0.08000000000000002</c:v>
                </c:pt>
                <c:pt idx="20">
                  <c:v>0.08250000000000002</c:v>
                </c:pt>
                <c:pt idx="21">
                  <c:v>0.08500000000000002</c:v>
                </c:pt>
                <c:pt idx="22">
                  <c:v>0.08750000000000002</c:v>
                </c:pt>
                <c:pt idx="23">
                  <c:v>0.09000000000000002</c:v>
                </c:pt>
              </c:numCache>
            </c:numRef>
          </c:xVal>
          <c:yVal>
            <c:numRef>
              <c:f>'Data Entry'!$S$4:$S$27</c:f>
              <c:numCache>
                <c:ptCount val="24"/>
                <c:pt idx="0">
                  <c:v>945.4297763014986</c:v>
                </c:pt>
                <c:pt idx="1">
                  <c:v>815.1920009946591</c:v>
                </c:pt>
                <c:pt idx="2">
                  <c:v>710.1228097553474</c:v>
                </c:pt>
                <c:pt idx="3">
                  <c:v>624.1313757615358</c:v>
                </c:pt>
                <c:pt idx="4">
                  <c:v>552.863779221291</c:v>
                </c:pt>
                <c:pt idx="5">
                  <c:v>493.14084010787997</c:v>
                </c:pt>
                <c:pt idx="6">
                  <c:v>442.59731909959294</c:v>
                </c:pt>
                <c:pt idx="7">
                  <c:v>399.4440804873826</c:v>
                </c:pt>
                <c:pt idx="8">
                  <c:v>362.30755599762585</c:v>
                </c:pt>
                <c:pt idx="9">
                  <c:v>330.11907478296075</c:v>
                </c:pt>
                <c:pt idx="10">
                  <c:v>302.03711189972216</c:v>
                </c:pt>
                <c:pt idx="11">
                  <c:v>277.39172256068224</c:v>
                </c:pt>
                <c:pt idx="12">
                  <c:v>255.64421151192477</c:v>
                </c:pt>
                <c:pt idx="13">
                  <c:v>236.3574440753742</c:v>
                </c:pt>
                <c:pt idx="14">
                  <c:v>219.1737067146131</c:v>
                </c:pt>
                <c:pt idx="15">
                  <c:v>203.7980002486645</c:v>
                </c:pt>
                <c:pt idx="16">
                  <c:v>189.98529392978944</c:v>
                </c:pt>
                <c:pt idx="17">
                  <c:v>177.53070243883656</c:v>
                </c:pt>
                <c:pt idx="18">
                  <c:v>166.2618441154557</c:v>
                </c:pt>
                <c:pt idx="19">
                  <c:v>156.03284394038369</c:v>
                </c:pt>
                <c:pt idx="20">
                  <c:v>146.7195887924269</c:v>
                </c:pt>
                <c:pt idx="21">
                  <c:v>138.2159448053226</c:v>
                </c:pt>
                <c:pt idx="22">
                  <c:v>130.4307201591452</c:v>
                </c:pt>
                <c:pt idx="23">
                  <c:v>123.28521002696982</c:v>
                </c:pt>
              </c:numCache>
            </c:numRef>
          </c:yVal>
          <c:smooth val="1"/>
        </c:ser>
        <c:axId val="28385574"/>
        <c:axId val="54143575"/>
      </c:scatterChart>
      <c:valAx>
        <c:axId val="28385574"/>
        <c:scaling>
          <c:orientation val="minMax"/>
        </c:scaling>
        <c:axPos val="b"/>
        <c:title>
          <c:tx>
            <c:rich>
              <a:bodyPr vert="horz" rot="0" anchor="ctr"/>
              <a:lstStyle/>
              <a:p>
                <a:pPr algn="ctr">
                  <a:defRPr/>
                </a:pPr>
                <a:r>
                  <a:rPr lang="en-US" cap="none" sz="1150" b="0" i="0" u="none" baseline="0">
                    <a:solidFill>
                      <a:srgbClr val="000000"/>
                    </a:solidFill>
                    <a:latin typeface="Arial"/>
                    <a:ea typeface="Arial"/>
                    <a:cs typeface="Arial"/>
                  </a:rPr>
                  <a:t>Overall SE% Desired</a:t>
                </a:r>
              </a:p>
            </c:rich>
          </c:tx>
          <c:layout>
            <c:manualLayout>
              <c:xMode val="factor"/>
              <c:yMode val="factor"/>
              <c:x val="0.0045"/>
              <c:y val="0.0047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54143575"/>
        <c:crosses val="autoZero"/>
        <c:crossBetween val="midCat"/>
        <c:dispUnits/>
        <c:majorUnit val="0.01"/>
        <c:minorUnit val="0.01"/>
      </c:valAx>
      <c:valAx>
        <c:axId val="5414357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Cost of Cruise</a:t>
                </a:r>
              </a:p>
            </c:rich>
          </c:tx>
          <c:layout>
            <c:manualLayout>
              <c:xMode val="factor"/>
              <c:yMode val="factor"/>
              <c:x val="-0.001"/>
              <c:y val="-0.003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28385574"/>
        <c:crosses val="autoZero"/>
        <c:crossBetween val="midCat"/>
        <c:dispUnits/>
      </c:valAx>
      <c:spPr>
        <a:solidFill>
          <a:srgbClr val="FFFFFF"/>
        </a:solidFill>
        <a:ln w="3175">
          <a:solidFill>
            <a:srgbClr val="000000"/>
          </a:solidFill>
        </a:ln>
      </c:spPr>
    </c:plotArea>
    <c:legend>
      <c:legendPos val="r"/>
      <c:layout>
        <c:manualLayout>
          <c:xMode val="edge"/>
          <c:yMode val="edge"/>
          <c:x val="0.62775"/>
          <c:y val="0.006"/>
          <c:w val="0.18225"/>
          <c:h val="0.0457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 of SE%, 3 Ratio options</a:t>
            </a:r>
          </a:p>
        </c:rich>
      </c:tx>
      <c:layout>
        <c:manualLayout>
          <c:xMode val="factor"/>
          <c:yMode val="factor"/>
          <c:x val="-0.1705"/>
          <c:y val="0.002"/>
        </c:manualLayout>
      </c:layout>
      <c:spPr>
        <a:noFill/>
        <a:ln>
          <a:noFill/>
        </a:ln>
      </c:spPr>
    </c:title>
    <c:plotArea>
      <c:layout>
        <c:manualLayout>
          <c:xMode val="edge"/>
          <c:yMode val="edge"/>
          <c:x val="0.0425"/>
          <c:y val="0.0815"/>
          <c:w val="0.922"/>
          <c:h val="0.8885"/>
        </c:manualLayout>
      </c:layout>
      <c:scatterChart>
        <c:scatterStyle val="smoothMarker"/>
        <c:varyColors val="0"/>
        <c:ser>
          <c:idx val="2"/>
          <c:order val="0"/>
          <c:tx>
            <c:v>Optimum</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000000"/>
                </a:solidFill>
              </a:ln>
            </c:spPr>
          </c:marker>
          <c:xVal>
            <c:numRef>
              <c:f>'Data Entry'!$R$4:$R$27</c:f>
              <c:numCache>
                <c:ptCount val="24"/>
                <c:pt idx="0">
                  <c:v>0.03249999999999997</c:v>
                </c:pt>
                <c:pt idx="1">
                  <c:v>0.034999999999999976</c:v>
                </c:pt>
                <c:pt idx="2">
                  <c:v>0.03749999999999998</c:v>
                </c:pt>
                <c:pt idx="3">
                  <c:v>0.03999999999999998</c:v>
                </c:pt>
                <c:pt idx="4">
                  <c:v>0.04249999999999998</c:v>
                </c:pt>
                <c:pt idx="5">
                  <c:v>0.044999999999999984</c:v>
                </c:pt>
                <c:pt idx="6">
                  <c:v>0.04749999999999999</c:v>
                </c:pt>
                <c:pt idx="7">
                  <c:v>0.04999999999999999</c:v>
                </c:pt>
                <c:pt idx="8">
                  <c:v>0.05249999999999999</c:v>
                </c:pt>
                <c:pt idx="9">
                  <c:v>0.05499999999999999</c:v>
                </c:pt>
                <c:pt idx="10">
                  <c:v>0.057499999999999996</c:v>
                </c:pt>
                <c:pt idx="11">
                  <c:v>0.06</c:v>
                </c:pt>
                <c:pt idx="12">
                  <c:v>0.0625</c:v>
                </c:pt>
                <c:pt idx="13">
                  <c:v>0.065</c:v>
                </c:pt>
                <c:pt idx="14">
                  <c:v>0.0675</c:v>
                </c:pt>
                <c:pt idx="15">
                  <c:v>0.07</c:v>
                </c:pt>
                <c:pt idx="16">
                  <c:v>0.07250000000000001</c:v>
                </c:pt>
                <c:pt idx="17">
                  <c:v>0.07500000000000001</c:v>
                </c:pt>
                <c:pt idx="18">
                  <c:v>0.07750000000000001</c:v>
                </c:pt>
                <c:pt idx="19">
                  <c:v>0.08000000000000002</c:v>
                </c:pt>
                <c:pt idx="20">
                  <c:v>0.08250000000000002</c:v>
                </c:pt>
                <c:pt idx="21">
                  <c:v>0.08500000000000002</c:v>
                </c:pt>
                <c:pt idx="22">
                  <c:v>0.08750000000000002</c:v>
                </c:pt>
                <c:pt idx="23">
                  <c:v>0.09000000000000002</c:v>
                </c:pt>
              </c:numCache>
            </c:numRef>
          </c:xVal>
          <c:yVal>
            <c:numRef>
              <c:f>'Data Entry'!$S$4:$S$27</c:f>
              <c:numCache>
                <c:ptCount val="24"/>
                <c:pt idx="0">
                  <c:v>945.4297763014986</c:v>
                </c:pt>
                <c:pt idx="1">
                  <c:v>815.1920009946591</c:v>
                </c:pt>
                <c:pt idx="2">
                  <c:v>710.1228097553474</c:v>
                </c:pt>
                <c:pt idx="3">
                  <c:v>624.1313757615358</c:v>
                </c:pt>
                <c:pt idx="4">
                  <c:v>552.863779221291</c:v>
                </c:pt>
                <c:pt idx="5">
                  <c:v>493.14084010787997</c:v>
                </c:pt>
                <c:pt idx="6">
                  <c:v>442.59731909959294</c:v>
                </c:pt>
                <c:pt idx="7">
                  <c:v>399.4440804873826</c:v>
                </c:pt>
                <c:pt idx="8">
                  <c:v>362.30755599762585</c:v>
                </c:pt>
                <c:pt idx="9">
                  <c:v>330.11907478296075</c:v>
                </c:pt>
                <c:pt idx="10">
                  <c:v>302.03711189972216</c:v>
                </c:pt>
                <c:pt idx="11">
                  <c:v>277.39172256068224</c:v>
                </c:pt>
                <c:pt idx="12">
                  <c:v>255.64421151192477</c:v>
                </c:pt>
                <c:pt idx="13">
                  <c:v>236.3574440753742</c:v>
                </c:pt>
                <c:pt idx="14">
                  <c:v>219.1737067146131</c:v>
                </c:pt>
                <c:pt idx="15">
                  <c:v>203.7980002486645</c:v>
                </c:pt>
                <c:pt idx="16">
                  <c:v>189.98529392978944</c:v>
                </c:pt>
                <c:pt idx="17">
                  <c:v>177.53070243883656</c:v>
                </c:pt>
                <c:pt idx="18">
                  <c:v>166.2618441154557</c:v>
                </c:pt>
                <c:pt idx="19">
                  <c:v>156.03284394038369</c:v>
                </c:pt>
                <c:pt idx="20">
                  <c:v>146.7195887924269</c:v>
                </c:pt>
                <c:pt idx="21">
                  <c:v>138.2159448053226</c:v>
                </c:pt>
                <c:pt idx="22">
                  <c:v>130.4307201591452</c:v>
                </c:pt>
                <c:pt idx="23">
                  <c:v>123.28521002696982</c:v>
                </c:pt>
              </c:numCache>
            </c:numRef>
          </c:yVal>
          <c:smooth val="1"/>
        </c:ser>
        <c:ser>
          <c:idx val="0"/>
          <c:order val="1"/>
          <c:tx>
            <c:v>Tested Option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000000"/>
                </a:solidFill>
              </a:ln>
            </c:spPr>
          </c:marker>
          <c:xVal>
            <c:numRef>
              <c:f>'Data Entry'!$R$4:$R$27</c:f>
              <c:numCache>
                <c:ptCount val="24"/>
                <c:pt idx="0">
                  <c:v>0.03249999999999997</c:v>
                </c:pt>
                <c:pt idx="1">
                  <c:v>0.034999999999999976</c:v>
                </c:pt>
                <c:pt idx="2">
                  <c:v>0.03749999999999998</c:v>
                </c:pt>
                <c:pt idx="3">
                  <c:v>0.03999999999999998</c:v>
                </c:pt>
                <c:pt idx="4">
                  <c:v>0.04249999999999998</c:v>
                </c:pt>
                <c:pt idx="5">
                  <c:v>0.044999999999999984</c:v>
                </c:pt>
                <c:pt idx="6">
                  <c:v>0.04749999999999999</c:v>
                </c:pt>
                <c:pt idx="7">
                  <c:v>0.04999999999999999</c:v>
                </c:pt>
                <c:pt idx="8">
                  <c:v>0.05249999999999999</c:v>
                </c:pt>
                <c:pt idx="9">
                  <c:v>0.05499999999999999</c:v>
                </c:pt>
                <c:pt idx="10">
                  <c:v>0.057499999999999996</c:v>
                </c:pt>
                <c:pt idx="11">
                  <c:v>0.06</c:v>
                </c:pt>
                <c:pt idx="12">
                  <c:v>0.0625</c:v>
                </c:pt>
                <c:pt idx="13">
                  <c:v>0.065</c:v>
                </c:pt>
                <c:pt idx="14">
                  <c:v>0.0675</c:v>
                </c:pt>
                <c:pt idx="15">
                  <c:v>0.07</c:v>
                </c:pt>
                <c:pt idx="16">
                  <c:v>0.07250000000000001</c:v>
                </c:pt>
                <c:pt idx="17">
                  <c:v>0.07500000000000001</c:v>
                </c:pt>
                <c:pt idx="18">
                  <c:v>0.07750000000000001</c:v>
                </c:pt>
                <c:pt idx="19">
                  <c:v>0.08000000000000002</c:v>
                </c:pt>
                <c:pt idx="20">
                  <c:v>0.08250000000000002</c:v>
                </c:pt>
                <c:pt idx="21">
                  <c:v>0.08500000000000002</c:v>
                </c:pt>
                <c:pt idx="22">
                  <c:v>0.08750000000000002</c:v>
                </c:pt>
                <c:pt idx="23">
                  <c:v>0.09000000000000002</c:v>
                </c:pt>
              </c:numCache>
            </c:numRef>
          </c:xVal>
          <c:yVal>
            <c:numRef>
              <c:f>'Data Entry'!$W$4:$W$27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1"/>
        </c:ser>
        <c:ser>
          <c:idx val="2"/>
          <c:order val="2"/>
          <c:tx>
            <c:v>Full Measure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'Data Entry'!$R$4:$R$27</c:f>
              <c:numCache>
                <c:ptCount val="24"/>
                <c:pt idx="0">
                  <c:v>0.03249999999999997</c:v>
                </c:pt>
                <c:pt idx="1">
                  <c:v>0.034999999999999976</c:v>
                </c:pt>
                <c:pt idx="2">
                  <c:v>0.03749999999999998</c:v>
                </c:pt>
                <c:pt idx="3">
                  <c:v>0.03999999999999998</c:v>
                </c:pt>
                <c:pt idx="4">
                  <c:v>0.04249999999999998</c:v>
                </c:pt>
                <c:pt idx="5">
                  <c:v>0.044999999999999984</c:v>
                </c:pt>
                <c:pt idx="6">
                  <c:v>0.04749999999999999</c:v>
                </c:pt>
                <c:pt idx="7">
                  <c:v>0.04999999999999999</c:v>
                </c:pt>
                <c:pt idx="8">
                  <c:v>0.05249999999999999</c:v>
                </c:pt>
                <c:pt idx="9">
                  <c:v>0.05499999999999999</c:v>
                </c:pt>
                <c:pt idx="10">
                  <c:v>0.057499999999999996</c:v>
                </c:pt>
                <c:pt idx="11">
                  <c:v>0.06</c:v>
                </c:pt>
                <c:pt idx="12">
                  <c:v>0.0625</c:v>
                </c:pt>
                <c:pt idx="13">
                  <c:v>0.065</c:v>
                </c:pt>
                <c:pt idx="14">
                  <c:v>0.0675</c:v>
                </c:pt>
                <c:pt idx="15">
                  <c:v>0.07</c:v>
                </c:pt>
                <c:pt idx="16">
                  <c:v>0.07250000000000001</c:v>
                </c:pt>
                <c:pt idx="17">
                  <c:v>0.07500000000000001</c:v>
                </c:pt>
                <c:pt idx="18">
                  <c:v>0.07750000000000001</c:v>
                </c:pt>
                <c:pt idx="19">
                  <c:v>0.08000000000000002</c:v>
                </c:pt>
                <c:pt idx="20">
                  <c:v>0.08250000000000002</c:v>
                </c:pt>
                <c:pt idx="21">
                  <c:v>0.08500000000000002</c:v>
                </c:pt>
                <c:pt idx="22">
                  <c:v>0.08750000000000002</c:v>
                </c:pt>
                <c:pt idx="23">
                  <c:v>0.09000000000000002</c:v>
                </c:pt>
              </c:numCache>
            </c:numRef>
          </c:xVal>
          <c:yVal>
            <c:numRef>
              <c:f>'Data Entry'!$AA$4:$AA$27</c:f>
              <c:numCache>
                <c:ptCount val="24"/>
                <c:pt idx="0">
                  <c:v>1633.0480473372809</c:v>
                </c:pt>
                <c:pt idx="1">
                  <c:v>1408.0873469387775</c:v>
                </c:pt>
                <c:pt idx="2">
                  <c:v>1226.6005333333346</c:v>
                </c:pt>
                <c:pt idx="3">
                  <c:v>1078.0668750000011</c:v>
                </c:pt>
                <c:pt idx="4">
                  <c:v>954.9658131487898</c:v>
                </c:pt>
                <c:pt idx="5">
                  <c:v>851.8059259259264</c:v>
                </c:pt>
                <c:pt idx="6">
                  <c:v>764.5017174515239</c:v>
                </c:pt>
                <c:pt idx="7">
                  <c:v>689.9628000000004</c:v>
                </c:pt>
                <c:pt idx="8">
                  <c:v>625.816598639456</c:v>
                </c:pt>
                <c:pt idx="9">
                  <c:v>570.2171900826447</c:v>
                </c:pt>
                <c:pt idx="10">
                  <c:v>521.7110018903593</c:v>
                </c:pt>
                <c:pt idx="11">
                  <c:v>479.1408333333333</c:v>
                </c:pt>
                <c:pt idx="12">
                  <c:v>441.576192</c:v>
                </c:pt>
                <c:pt idx="13">
                  <c:v>408.2620118343194</c:v>
                </c:pt>
                <c:pt idx="14">
                  <c:v>378.58041152263365</c:v>
                </c:pt>
                <c:pt idx="15">
                  <c:v>352.0218367346938</c:v>
                </c:pt>
                <c:pt idx="16">
                  <c:v>328.16304399524364</c:v>
                </c:pt>
                <c:pt idx="17">
                  <c:v>306.65013333333326</c:v>
                </c:pt>
                <c:pt idx="18">
                  <c:v>287.1853485952132</c:v>
                </c:pt>
                <c:pt idx="19">
                  <c:v>269.5167187499999</c:v>
                </c:pt>
                <c:pt idx="20">
                  <c:v>253.42986225895302</c:v>
                </c:pt>
                <c:pt idx="21">
                  <c:v>238.74145328719712</c:v>
                </c:pt>
                <c:pt idx="22">
                  <c:v>225.29397551020395</c:v>
                </c:pt>
                <c:pt idx="23">
                  <c:v>212.95148148148138</c:v>
                </c:pt>
              </c:numCache>
            </c:numRef>
          </c:yVal>
          <c:smooth val="1"/>
        </c:ser>
        <c:axId val="17530128"/>
        <c:axId val="23553425"/>
      </c:scatterChart>
      <c:valAx>
        <c:axId val="17530128"/>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Overall SE% Desired</a:t>
                </a:r>
              </a:p>
            </c:rich>
          </c:tx>
          <c:layout>
            <c:manualLayout>
              <c:xMode val="factor"/>
              <c:yMode val="factor"/>
              <c:x val="0.009"/>
              <c:y val="0.001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3553425"/>
        <c:crosses val="autoZero"/>
        <c:crossBetween val="midCat"/>
        <c:dispUnits/>
        <c:majorUnit val="0.01"/>
        <c:minorUnit val="0.01"/>
      </c:valAx>
      <c:valAx>
        <c:axId val="23553425"/>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Cost of Cruise</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7530128"/>
        <c:crosses val="autoZero"/>
        <c:crossBetween val="midCat"/>
        <c:dispUnits/>
      </c:valAx>
      <c:spPr>
        <a:solidFill>
          <a:srgbClr val="FFFFFF"/>
        </a:solidFill>
        <a:ln w="3175">
          <a:solidFill>
            <a:srgbClr val="000000"/>
          </a:solidFill>
        </a:ln>
      </c:spPr>
    </c:plotArea>
    <c:legend>
      <c:legendPos val="r"/>
      <c:layout>
        <c:manualLayout>
          <c:xMode val="edge"/>
          <c:yMode val="edge"/>
          <c:x val="0.518"/>
          <c:y val="0.03175"/>
          <c:w val="0.468"/>
          <c:h val="0.045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Cost of Cruise, (SE% can vary)</a:t>
            </a:r>
          </a:p>
        </c:rich>
      </c:tx>
      <c:layout>
        <c:manualLayout>
          <c:xMode val="factor"/>
          <c:yMode val="factor"/>
          <c:x val="-0.1935"/>
          <c:y val="-0.018"/>
        </c:manualLayout>
      </c:layout>
      <c:spPr>
        <a:noFill/>
        <a:ln>
          <a:noFill/>
        </a:ln>
      </c:spPr>
    </c:title>
    <c:plotArea>
      <c:layout>
        <c:manualLayout>
          <c:xMode val="edge"/>
          <c:yMode val="edge"/>
          <c:x val="0.03425"/>
          <c:y val="0.0725"/>
          <c:w val="0.943"/>
          <c:h val="0.88075"/>
        </c:manualLayout>
      </c:layout>
      <c:scatterChart>
        <c:scatterStyle val="smoothMarker"/>
        <c:varyColors val="0"/>
        <c:ser>
          <c:idx val="2"/>
          <c:order val="0"/>
          <c:tx>
            <c:v>Range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6"/>
            <c:spPr>
              <a:solidFill>
                <a:srgbClr val="FFFFFF"/>
              </a:solidFill>
              <a:ln>
                <a:solidFill>
                  <a:srgbClr val="000000"/>
                </a:solidFill>
              </a:ln>
            </c:spPr>
          </c:marker>
          <c:xVal>
            <c:numRef>
              <c:f>'Data Entry'!$J$8:$J$24</c:f>
              <c:numCache>
                <c:ptCount val="17"/>
                <c:pt idx="0">
                  <c:v>13</c:v>
                </c:pt>
                <c:pt idx="1">
                  <c:v>16</c:v>
                </c:pt>
                <c:pt idx="2">
                  <c:v>19</c:v>
                </c:pt>
                <c:pt idx="3">
                  <c:v>22</c:v>
                </c:pt>
                <c:pt idx="4">
                  <c:v>25</c:v>
                </c:pt>
                <c:pt idx="5">
                  <c:v>28</c:v>
                </c:pt>
                <c:pt idx="6">
                  <c:v>31</c:v>
                </c:pt>
                <c:pt idx="7">
                  <c:v>34</c:v>
                </c:pt>
                <c:pt idx="8">
                  <c:v>37</c:v>
                </c:pt>
                <c:pt idx="9">
                  <c:v>40</c:v>
                </c:pt>
                <c:pt idx="10">
                  <c:v>43</c:v>
                </c:pt>
                <c:pt idx="11">
                  <c:v>46</c:v>
                </c:pt>
                <c:pt idx="12">
                  <c:v>49</c:v>
                </c:pt>
                <c:pt idx="13">
                  <c:v>52</c:v>
                </c:pt>
                <c:pt idx="14">
                  <c:v>55</c:v>
                </c:pt>
                <c:pt idx="15">
                  <c:v>58</c:v>
                </c:pt>
                <c:pt idx="16">
                  <c:v>61</c:v>
                </c:pt>
              </c:numCache>
            </c:numRef>
          </c:xVal>
          <c:yVal>
            <c:numRef>
              <c:f>'Data Entry'!$N$8:$N$24</c:f>
              <c:numCache>
                <c:ptCount val="17"/>
                <c:pt idx="0">
                  <c:v>0</c:v>
                </c:pt>
                <c:pt idx="1">
                  <c:v>0</c:v>
                </c:pt>
                <c:pt idx="2">
                  <c:v>0</c:v>
                </c:pt>
                <c:pt idx="3">
                  <c:v>0</c:v>
                </c:pt>
                <c:pt idx="4">
                  <c:v>0</c:v>
                </c:pt>
                <c:pt idx="5">
                  <c:v>349.3207407407406</c:v>
                </c:pt>
                <c:pt idx="6">
                  <c:v>286.3739814814815</c:v>
                </c:pt>
                <c:pt idx="7">
                  <c:v>277.3917283950617</c:v>
                </c:pt>
                <c:pt idx="8">
                  <c:v>281.90060185185183</c:v>
                </c:pt>
                <c:pt idx="9">
                  <c:v>291.8059259259259</c:v>
                </c:pt>
                <c:pt idx="10">
                  <c:v>304.409475308642</c:v>
                </c:pt>
                <c:pt idx="11">
                  <c:v>318.55486772486773</c:v>
                </c:pt>
                <c:pt idx="12">
                  <c:v>333.66391203703705</c:v>
                </c:pt>
                <c:pt idx="13">
                  <c:v>349.41539094650204</c:v>
                </c:pt>
                <c:pt idx="14">
                  <c:v>365.61657407407404</c:v>
                </c:pt>
                <c:pt idx="15">
                  <c:v>382.1448148148148</c:v>
                </c:pt>
                <c:pt idx="16">
                  <c:v>398.9183487654321</c:v>
                </c:pt>
              </c:numCache>
            </c:numRef>
          </c:yVal>
          <c:smooth val="1"/>
        </c:ser>
        <c:ser>
          <c:idx val="0"/>
          <c:order val="1"/>
          <c:tx>
            <c:v>Full Meas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000000"/>
                </a:solidFill>
              </a:ln>
            </c:spPr>
          </c:marker>
          <c:xVal>
            <c:numRef>
              <c:f>'Data Entry'!$J$4</c:f>
              <c:numCache>
                <c:ptCount val="1"/>
                <c:pt idx="0">
                  <c:v>26.618935185185183</c:v>
                </c:pt>
              </c:numCache>
            </c:numRef>
          </c:xVal>
          <c:yVal>
            <c:numRef>
              <c:f>'Data Entry'!$N$4</c:f>
              <c:numCache>
                <c:ptCount val="1"/>
                <c:pt idx="0">
                  <c:v>479.1408333333333</c:v>
                </c:pt>
              </c:numCache>
            </c:numRef>
          </c:yVal>
          <c:smooth val="1"/>
        </c:ser>
        <c:ser>
          <c:idx val="1"/>
          <c:order val="2"/>
          <c:tx>
            <c:v>Tested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FF00FF"/>
                </a:solidFill>
              </a:ln>
            </c:spPr>
          </c:marker>
          <c:xVal>
            <c:numRef>
              <c:f>'Data Entry'!$J$5</c:f>
              <c:numCache>
                <c:ptCount val="1"/>
                <c:pt idx="0">
                  <c:v>0</c:v>
                </c:pt>
              </c:numCache>
            </c:numRef>
          </c:xVal>
          <c:yVal>
            <c:numRef>
              <c:f>'Data Entry'!$N$5</c:f>
              <c:numCache>
                <c:ptCount val="1"/>
                <c:pt idx="0">
                  <c:v>0</c:v>
                </c:pt>
              </c:numCache>
            </c:numRef>
          </c:yVal>
          <c:smooth val="1"/>
        </c:ser>
        <c:axId val="10654234"/>
        <c:axId val="28779243"/>
      </c:scatterChart>
      <c:valAx>
        <c:axId val="10654234"/>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Number of Plots</a:t>
                </a:r>
              </a:p>
            </c:rich>
          </c:tx>
          <c:layout>
            <c:manualLayout>
              <c:xMode val="factor"/>
              <c:yMode val="factor"/>
              <c:x val="0.00275"/>
              <c:y val="0.0007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8779243"/>
        <c:crosses val="autoZero"/>
        <c:crossBetween val="midCat"/>
        <c:dispUnits/>
      </c:valAx>
      <c:valAx>
        <c:axId val="2877924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Cost of cruise</a:t>
                </a:r>
              </a:p>
            </c:rich>
          </c:tx>
          <c:layout>
            <c:manualLayout>
              <c:xMode val="factor"/>
              <c:yMode val="factor"/>
              <c:x val="-0.00125"/>
              <c:y val="-0.0005"/>
            </c:manualLayout>
          </c:layout>
          <c:overlay val="0"/>
          <c:spPr>
            <a:solidFill>
              <a:srgbClr val="FFFFFF"/>
            </a:solidFill>
            <a:ln w="3175">
              <a:noFill/>
            </a:ln>
          </c:spPr>
        </c:title>
        <c:majorGridlines>
          <c:spPr>
            <a:ln w="3175">
              <a:solidFill>
                <a:srgbClr val="000000"/>
              </a:solidFill>
            </a:ln>
          </c:spPr>
        </c:majorGridlines>
        <c:delete val="0"/>
        <c:numFmt formatCode="#,##0;[Red]#,##0" sourceLinked="0"/>
        <c:majorTickMark val="out"/>
        <c:minorTickMark val="in"/>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0654234"/>
        <c:crosses val="autoZero"/>
        <c:crossBetween val="midCat"/>
        <c:dispUnits/>
      </c:valAx>
      <c:spPr>
        <a:solidFill>
          <a:srgbClr val="FFFFFF"/>
        </a:solidFill>
        <a:ln w="3175">
          <a:solidFill>
            <a:srgbClr val="000000"/>
          </a:solidFill>
        </a:ln>
      </c:spPr>
    </c:plotArea>
    <c:legend>
      <c:legendPos val="t"/>
      <c:layout>
        <c:manualLayout>
          <c:xMode val="edge"/>
          <c:yMode val="edge"/>
          <c:x val="0.577"/>
          <c:y val="0.006"/>
          <c:w val="0.37175"/>
          <c:h val="0.0497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RELATIVE Cost of Cruise, SE% = ____ (cell C9)</a:t>
            </a:r>
          </a:p>
        </c:rich>
      </c:tx>
      <c:layout>
        <c:manualLayout>
          <c:xMode val="factor"/>
          <c:yMode val="factor"/>
          <c:x val="-0.19925"/>
          <c:y val="-0.01925"/>
        </c:manualLayout>
      </c:layout>
      <c:spPr>
        <a:noFill/>
        <a:ln>
          <a:noFill/>
        </a:ln>
      </c:spPr>
    </c:title>
    <c:plotArea>
      <c:layout>
        <c:manualLayout>
          <c:xMode val="edge"/>
          <c:yMode val="edge"/>
          <c:x val="0.044"/>
          <c:y val="0.06475"/>
          <c:w val="0.9335"/>
          <c:h val="0.871"/>
        </c:manualLayout>
      </c:layout>
      <c:scatterChart>
        <c:scatterStyle val="smoothMarker"/>
        <c:varyColors val="0"/>
        <c:ser>
          <c:idx val="2"/>
          <c:order val="0"/>
          <c:tx>
            <c:v>Range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solidFill>
                <a:srgbClr val="FFFFFF"/>
              </a:solidFill>
              <a:ln>
                <a:solidFill>
                  <a:srgbClr val="000000"/>
                </a:solidFill>
              </a:ln>
            </c:spPr>
          </c:marker>
          <c:xVal>
            <c:numRef>
              <c:f>'Data Entry'!$U$73:$U$92</c:f>
              <c:numCache>
                <c:ptCount val="20"/>
                <c:pt idx="0">
                  <c:v>0.034169687847089965</c:v>
                </c:pt>
                <c:pt idx="1">
                  <c:v>0.03674234614174767</c:v>
                </c:pt>
                <c:pt idx="2">
                  <c:v>0.038819798353237824</c:v>
                </c:pt>
                <c:pt idx="3">
                  <c:v>0.040539835481530576</c:v>
                </c:pt>
                <c:pt idx="4">
                  <c:v>0.04199125273342591</c:v>
                </c:pt>
                <c:pt idx="5">
                  <c:v>0.043234601527373524</c:v>
                </c:pt>
                <c:pt idx="6">
                  <c:v>0.04431293675255979</c:v>
                </c:pt>
                <c:pt idx="7">
                  <c:v>0.04525788176736695</c:v>
                </c:pt>
                <c:pt idx="8">
                  <c:v>0.046093276775842545</c:v>
                </c:pt>
              </c:numCache>
            </c:numRef>
          </c:xVal>
          <c:yVal>
            <c:numRef>
              <c:f>'Data Entry'!$V$73:$V$92</c:f>
              <c:numCache>
                <c:ptCount val="20"/>
                <c:pt idx="0">
                  <c:v>281.90060185185183</c:v>
                </c:pt>
                <c:pt idx="1">
                  <c:v>291.8059259259259</c:v>
                </c:pt>
                <c:pt idx="2">
                  <c:v>304.409475308642</c:v>
                </c:pt>
                <c:pt idx="3">
                  <c:v>318.55486772486773</c:v>
                </c:pt>
                <c:pt idx="4">
                  <c:v>333.66391203703705</c:v>
                </c:pt>
                <c:pt idx="5">
                  <c:v>349.41539094650204</c:v>
                </c:pt>
                <c:pt idx="6">
                  <c:v>365.61657407407404</c:v>
                </c:pt>
                <c:pt idx="7">
                  <c:v>382.1448148148148</c:v>
                </c:pt>
                <c:pt idx="8">
                  <c:v>398.9183487654321</c:v>
                </c:pt>
              </c:numCache>
            </c:numRef>
          </c:yVal>
          <c:smooth val="1"/>
        </c:ser>
        <c:ser>
          <c:idx val="0"/>
          <c:order val="1"/>
          <c:tx>
            <c:v>Full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000000"/>
                </a:solidFill>
              </a:ln>
            </c:spPr>
          </c:marker>
          <c:xVal>
            <c:numRef>
              <c:f>'Data Entry'!$U$71:$U$71</c:f>
              <c:numCache>
                <c:ptCount val="1"/>
                <c:pt idx="0">
                  <c:v>0.026396480703843588</c:v>
                </c:pt>
              </c:numCache>
            </c:numRef>
          </c:xVal>
          <c:yVal>
            <c:numRef>
              <c:f>'Data Entry'!$V$71:$V$71</c:f>
              <c:numCache>
                <c:ptCount val="1"/>
                <c:pt idx="0">
                  <c:v>286.3739814814815</c:v>
                </c:pt>
              </c:numCache>
            </c:numRef>
          </c:yVal>
          <c:smooth val="1"/>
        </c:ser>
        <c:ser>
          <c:idx val="1"/>
          <c:order val="2"/>
          <c:tx>
            <c:v>test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FF00FF"/>
                </a:solidFill>
              </a:ln>
            </c:spPr>
          </c:marker>
          <c:xVal>
            <c:numRef>
              <c:f>'Data Entry'!$U$72</c:f>
              <c:numCache>
                <c:ptCount val="1"/>
                <c:pt idx="0">
                  <c:v>0.030869745325651596</c:v>
                </c:pt>
              </c:numCache>
            </c:numRef>
          </c:xVal>
          <c:yVal>
            <c:numRef>
              <c:f>'Data Entry'!$V$72</c:f>
              <c:numCache>
                <c:ptCount val="1"/>
                <c:pt idx="0">
                  <c:v>277.3917283950617</c:v>
                </c:pt>
              </c:numCache>
            </c:numRef>
          </c:yVal>
          <c:smooth val="1"/>
        </c:ser>
        <c:axId val="57686596"/>
        <c:axId val="49417317"/>
      </c:scatterChart>
      <c:valAx>
        <c:axId val="57686596"/>
        <c:scaling>
          <c:orientation val="minMax"/>
          <c:max val="0.05"/>
        </c:scaling>
        <c:axPos val="b"/>
        <c:title>
          <c:tx>
            <c:rich>
              <a:bodyPr vert="horz" rot="0" anchor="ctr"/>
              <a:lstStyle/>
              <a:p>
                <a:pPr algn="ctr">
                  <a:defRPr/>
                </a:pPr>
                <a:r>
                  <a:rPr lang="en-US" cap="none" sz="1100" b="0" i="0" u="none" baseline="0">
                    <a:solidFill>
                      <a:srgbClr val="000000"/>
                    </a:solidFill>
                    <a:latin typeface="Arial"/>
                    <a:ea typeface="Arial"/>
                    <a:cs typeface="Arial"/>
                  </a:rPr>
                  <a:t>Number of Points</a:t>
                </a:r>
              </a:p>
            </c:rich>
          </c:tx>
          <c:layout>
            <c:manualLayout>
              <c:xMode val="factor"/>
              <c:yMode val="factor"/>
              <c:x val="0"/>
              <c:y val="0.001"/>
            </c:manualLayout>
          </c:layout>
          <c:overlay val="0"/>
          <c:spPr>
            <a:noFill/>
            <a:ln>
              <a:noFill/>
            </a:ln>
          </c:spPr>
        </c:title>
        <c:delete val="0"/>
        <c:numFmt formatCode="0.0%" sourceLinked="0"/>
        <c:majorTickMark val="out"/>
        <c:minorTickMark val="in"/>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9417317"/>
        <c:crosses val="autoZero"/>
        <c:crossBetween val="midCat"/>
        <c:dispUnits/>
        <c:majorUnit val="0.005"/>
        <c:minorUnit val="0.001"/>
      </c:valAx>
      <c:valAx>
        <c:axId val="49417317"/>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RELATIVE Total Cost</a:t>
                </a:r>
              </a:p>
            </c:rich>
          </c:tx>
          <c:layout>
            <c:manualLayout>
              <c:xMode val="factor"/>
              <c:yMode val="factor"/>
              <c:x val="-0.00175"/>
              <c:y val="-0.0017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7686596"/>
        <c:crossesAt val="0"/>
        <c:crossBetween val="midCat"/>
        <c:dispUnits/>
      </c:valAx>
      <c:spPr>
        <a:solidFill>
          <a:srgbClr val="FFFFFF"/>
        </a:solidFill>
        <a:ln w="3175">
          <a:solidFill>
            <a:srgbClr val="000000"/>
          </a:solidFill>
        </a:ln>
      </c:spPr>
    </c:plotArea>
    <c:legend>
      <c:legendPos val="r"/>
      <c:layout>
        <c:manualLayout>
          <c:xMode val="edge"/>
          <c:yMode val="edge"/>
          <c:x val="0.664"/>
          <c:y val="0.0095"/>
          <c:w val="0.31025"/>
          <c:h val="0.051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For SE% noted below, choice of TC/VBAR combinations</a:t>
            </a:r>
          </a:p>
        </c:rich>
      </c:tx>
      <c:layout>
        <c:manualLayout>
          <c:xMode val="factor"/>
          <c:yMode val="factor"/>
          <c:x val="0.0275"/>
          <c:y val="-0.02"/>
        </c:manualLayout>
      </c:layout>
      <c:spPr>
        <a:noFill/>
        <a:ln>
          <a:noFill/>
        </a:ln>
      </c:spPr>
    </c:title>
    <c:plotArea>
      <c:layout>
        <c:manualLayout>
          <c:xMode val="edge"/>
          <c:yMode val="edge"/>
          <c:x val="0.042"/>
          <c:y val="0.11875"/>
          <c:w val="0.93125"/>
          <c:h val="0.826"/>
        </c:manualLayout>
      </c:layout>
      <c:scatterChart>
        <c:scatterStyle val="smoothMarker"/>
        <c:varyColors val="0"/>
        <c:ser>
          <c:idx val="2"/>
          <c:order val="0"/>
          <c:tx>
            <c:v># of Counts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Graphs!$Y$12:$Y$47</c:f>
              <c:numCache/>
            </c:numRef>
          </c:xVal>
          <c:yVal>
            <c:numRef>
              <c:f>Graphs!$X$12:$X$47</c:f>
              <c:numCache/>
            </c:numRef>
          </c:yVal>
          <c:smooth val="1"/>
        </c:ser>
        <c:axId val="42102670"/>
        <c:axId val="43379711"/>
      </c:scatterChart>
      <c:valAx>
        <c:axId val="42102670"/>
        <c:scaling>
          <c:orientation val="minMax"/>
          <c:max val="1000"/>
          <c:min val="0"/>
        </c:scaling>
        <c:axPos val="b"/>
        <c:title>
          <c:tx>
            <c:rich>
              <a:bodyPr vert="horz" rot="0" anchor="ctr"/>
              <a:lstStyle/>
              <a:p>
                <a:pPr algn="ctr">
                  <a:defRPr/>
                </a:pPr>
                <a:r>
                  <a:rPr lang="en-US" cap="none" sz="800" b="0" i="0" u="none" baseline="0">
                    <a:solidFill>
                      <a:srgbClr val="000000"/>
                    </a:solidFill>
                    <a:latin typeface="Arial"/>
                    <a:ea typeface="Arial"/>
                    <a:cs typeface="Arial"/>
                  </a:rPr>
                  <a:t>Number of *BAR Measurements</a:t>
                </a:r>
              </a:p>
            </c:rich>
          </c:tx>
          <c:layout>
            <c:manualLayout>
              <c:xMode val="factor"/>
              <c:yMode val="factor"/>
              <c:x val="0"/>
              <c:y val="0.00225"/>
            </c:manualLayout>
          </c:layout>
          <c:overlay val="0"/>
          <c:spPr>
            <a:noFill/>
            <a:ln>
              <a:noFill/>
            </a:ln>
          </c:spPr>
        </c:title>
        <c:delete val="0"/>
        <c:numFmt formatCode="#,##0" sourceLinked="0"/>
        <c:majorTickMark val="out"/>
        <c:minorTickMark val="none"/>
        <c:tickLblPos val="nextTo"/>
        <c:spPr>
          <a:ln w="3175">
            <a:solidFill>
              <a:srgbClr val="000000"/>
            </a:solidFill>
          </a:ln>
        </c:spPr>
        <c:crossAx val="43379711"/>
        <c:crosses val="autoZero"/>
        <c:crossBetween val="midCat"/>
        <c:dispUnits/>
        <c:majorUnit val="100"/>
        <c:minorUnit val="2"/>
      </c:valAx>
      <c:valAx>
        <c:axId val="43379711"/>
        <c:scaling>
          <c:orientation val="minMax"/>
          <c:max val="1000"/>
        </c:scaling>
        <c:axPos val="l"/>
        <c:title>
          <c:tx>
            <c:rich>
              <a:bodyPr vert="horz" rot="-5400000" anchor="ctr"/>
              <a:lstStyle/>
              <a:p>
                <a:pPr algn="ctr">
                  <a:defRPr/>
                </a:pPr>
                <a:r>
                  <a:rPr lang="en-US" cap="none" sz="800" b="0" i="0" u="none" baseline="0">
                    <a:solidFill>
                      <a:srgbClr val="000000"/>
                    </a:solidFill>
                    <a:latin typeface="Arial"/>
                    <a:ea typeface="Arial"/>
                    <a:cs typeface="Arial"/>
                  </a:rPr>
                  <a:t>Number of Tree Count plots</a:t>
                </a:r>
              </a:p>
            </c:rich>
          </c:tx>
          <c:layout>
            <c:manualLayout>
              <c:xMode val="factor"/>
              <c:yMode val="factor"/>
              <c:x val="-0.001"/>
              <c:y val="-0.004"/>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2102670"/>
        <c:crossesAt val="0"/>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For SE% noted below, choice of TC/VBAR combinations</a:t>
            </a:r>
          </a:p>
        </c:rich>
      </c:tx>
      <c:layout>
        <c:manualLayout>
          <c:xMode val="factor"/>
          <c:yMode val="factor"/>
          <c:x val="0.0275"/>
          <c:y val="-0.02"/>
        </c:manualLayout>
      </c:layout>
      <c:spPr>
        <a:noFill/>
        <a:ln>
          <a:noFill/>
        </a:ln>
      </c:spPr>
    </c:title>
    <c:plotArea>
      <c:layout>
        <c:manualLayout>
          <c:xMode val="edge"/>
          <c:yMode val="edge"/>
          <c:x val="0.042"/>
          <c:y val="0.118"/>
          <c:w val="0.9315"/>
          <c:h val="0.827"/>
        </c:manualLayout>
      </c:layout>
      <c:scatterChart>
        <c:scatterStyle val="smoothMarker"/>
        <c:varyColors val="0"/>
        <c:ser>
          <c:idx val="2"/>
          <c:order val="0"/>
          <c:tx>
            <c:v># of Counts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Graphs!$Y$12:$Y$47</c:f>
              <c:numCache/>
            </c:numRef>
          </c:xVal>
          <c:yVal>
            <c:numRef>
              <c:f>Graphs!$X$12:$X$47</c:f>
              <c:numCache/>
            </c:numRef>
          </c:yVal>
          <c:smooth val="1"/>
        </c:ser>
        <c:axId val="54873080"/>
        <c:axId val="24095673"/>
      </c:scatterChart>
      <c:valAx>
        <c:axId val="54873080"/>
        <c:scaling>
          <c:orientation val="minMax"/>
          <c:max val="100"/>
          <c:min val="0"/>
        </c:scaling>
        <c:axPos val="b"/>
        <c:title>
          <c:tx>
            <c:rich>
              <a:bodyPr vert="horz" rot="0" anchor="ctr"/>
              <a:lstStyle/>
              <a:p>
                <a:pPr algn="ctr">
                  <a:defRPr/>
                </a:pPr>
                <a:r>
                  <a:rPr lang="en-US" cap="none" sz="800" b="0" i="0" u="none" baseline="0">
                    <a:solidFill>
                      <a:srgbClr val="000000"/>
                    </a:solidFill>
                    <a:latin typeface="Arial"/>
                    <a:ea typeface="Arial"/>
                    <a:cs typeface="Arial"/>
                  </a:rPr>
                  <a:t>Number of *BAR Measurements</a:t>
                </a:r>
              </a:p>
            </c:rich>
          </c:tx>
          <c:layout>
            <c:manualLayout>
              <c:xMode val="factor"/>
              <c:yMode val="factor"/>
              <c:x val="0"/>
              <c:y val="0.00225"/>
            </c:manualLayout>
          </c:layout>
          <c:overlay val="0"/>
          <c:spPr>
            <a:noFill/>
            <a:ln>
              <a:noFill/>
            </a:ln>
          </c:spPr>
        </c:title>
        <c:delete val="0"/>
        <c:numFmt formatCode="#,##0" sourceLinked="0"/>
        <c:majorTickMark val="out"/>
        <c:minorTickMark val="none"/>
        <c:tickLblPos val="nextTo"/>
        <c:spPr>
          <a:ln w="3175">
            <a:solidFill>
              <a:srgbClr val="000000"/>
            </a:solidFill>
          </a:ln>
        </c:spPr>
        <c:crossAx val="24095673"/>
        <c:crosses val="autoZero"/>
        <c:crossBetween val="midCat"/>
        <c:dispUnits/>
        <c:majorUnit val="10"/>
        <c:minorUnit val="2"/>
      </c:valAx>
      <c:valAx>
        <c:axId val="24095673"/>
        <c:scaling>
          <c:orientation val="minMax"/>
          <c:max val="100"/>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Number of Tree Count plots</a:t>
                </a:r>
              </a:p>
            </c:rich>
          </c:tx>
          <c:layout>
            <c:manualLayout>
              <c:xMode val="factor"/>
              <c:yMode val="factor"/>
              <c:x val="-0.001"/>
              <c:y val="-0.004"/>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4873080"/>
        <c:crossesAt val="0"/>
        <c:crossBetween val="midCat"/>
        <c:dispUnits/>
        <c:majorUnit val="10"/>
        <c:minorUnit val="2"/>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37</xdr:row>
      <xdr:rowOff>95250</xdr:rowOff>
    </xdr:from>
    <xdr:to>
      <xdr:col>4</xdr:col>
      <xdr:colOff>714375</xdr:colOff>
      <xdr:row>37</xdr:row>
      <xdr:rowOff>161925</xdr:rowOff>
    </xdr:to>
    <xdr:sp>
      <xdr:nvSpPr>
        <xdr:cNvPr id="1" name="Line 429"/>
        <xdr:cNvSpPr>
          <a:spLocks/>
        </xdr:cNvSpPr>
      </xdr:nvSpPr>
      <xdr:spPr>
        <a:xfrm flipV="1">
          <a:off x="2743200" y="6429375"/>
          <a:ext cx="438150" cy="66675"/>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35</xdr:row>
      <xdr:rowOff>95250</xdr:rowOff>
    </xdr:from>
    <xdr:to>
      <xdr:col>6</xdr:col>
      <xdr:colOff>47625</xdr:colOff>
      <xdr:row>36</xdr:row>
      <xdr:rowOff>133350</xdr:rowOff>
    </xdr:to>
    <xdr:sp>
      <xdr:nvSpPr>
        <xdr:cNvPr id="2" name="Line 430"/>
        <xdr:cNvSpPr>
          <a:spLocks/>
        </xdr:cNvSpPr>
      </xdr:nvSpPr>
      <xdr:spPr>
        <a:xfrm flipH="1">
          <a:off x="2447925" y="6076950"/>
          <a:ext cx="1533525" cy="219075"/>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35</xdr:row>
      <xdr:rowOff>95250</xdr:rowOff>
    </xdr:from>
    <xdr:to>
      <xdr:col>6</xdr:col>
      <xdr:colOff>600075</xdr:colOff>
      <xdr:row>35</xdr:row>
      <xdr:rowOff>95250</xdr:rowOff>
    </xdr:to>
    <xdr:sp>
      <xdr:nvSpPr>
        <xdr:cNvPr id="3" name="Line 431"/>
        <xdr:cNvSpPr>
          <a:spLocks/>
        </xdr:cNvSpPr>
      </xdr:nvSpPr>
      <xdr:spPr>
        <a:xfrm flipV="1">
          <a:off x="3962400" y="6076950"/>
          <a:ext cx="571500" cy="0"/>
        </a:xfrm>
        <a:prstGeom prst="line">
          <a:avLst/>
        </a:prstGeom>
        <a:noFill/>
        <a:ln w="9525" cmpd="sng">
          <a:solidFill>
            <a:srgbClr val="8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47</xdr:row>
      <xdr:rowOff>95250</xdr:rowOff>
    </xdr:from>
    <xdr:to>
      <xdr:col>6</xdr:col>
      <xdr:colOff>47625</xdr:colOff>
      <xdr:row>48</xdr:row>
      <xdr:rowOff>133350</xdr:rowOff>
    </xdr:to>
    <xdr:sp>
      <xdr:nvSpPr>
        <xdr:cNvPr id="4" name="Line 508"/>
        <xdr:cNvSpPr>
          <a:spLocks/>
        </xdr:cNvSpPr>
      </xdr:nvSpPr>
      <xdr:spPr>
        <a:xfrm flipH="1">
          <a:off x="2447925" y="8105775"/>
          <a:ext cx="1533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47</xdr:row>
      <xdr:rowOff>95250</xdr:rowOff>
    </xdr:from>
    <xdr:to>
      <xdr:col>6</xdr:col>
      <xdr:colOff>600075</xdr:colOff>
      <xdr:row>47</xdr:row>
      <xdr:rowOff>95250</xdr:rowOff>
    </xdr:to>
    <xdr:sp>
      <xdr:nvSpPr>
        <xdr:cNvPr id="5" name="Line 509"/>
        <xdr:cNvSpPr>
          <a:spLocks/>
        </xdr:cNvSpPr>
      </xdr:nvSpPr>
      <xdr:spPr>
        <a:xfrm flipV="1">
          <a:off x="3962400" y="8105775"/>
          <a:ext cx="571500" cy="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50</xdr:row>
      <xdr:rowOff>152400</xdr:rowOff>
    </xdr:from>
    <xdr:to>
      <xdr:col>6</xdr:col>
      <xdr:colOff>628650</xdr:colOff>
      <xdr:row>51</xdr:row>
      <xdr:rowOff>142875</xdr:rowOff>
    </xdr:to>
    <xdr:sp>
      <xdr:nvSpPr>
        <xdr:cNvPr id="6" name="Line 511"/>
        <xdr:cNvSpPr>
          <a:spLocks/>
        </xdr:cNvSpPr>
      </xdr:nvSpPr>
      <xdr:spPr>
        <a:xfrm>
          <a:off x="4210050" y="8686800"/>
          <a:ext cx="3524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38</xdr:row>
      <xdr:rowOff>9525</xdr:rowOff>
    </xdr:from>
    <xdr:to>
      <xdr:col>6</xdr:col>
      <xdr:colOff>638175</xdr:colOff>
      <xdr:row>40</xdr:row>
      <xdr:rowOff>9525</xdr:rowOff>
    </xdr:to>
    <xdr:sp>
      <xdr:nvSpPr>
        <xdr:cNvPr id="7" name="Line 567"/>
        <xdr:cNvSpPr>
          <a:spLocks/>
        </xdr:cNvSpPr>
      </xdr:nvSpPr>
      <xdr:spPr>
        <a:xfrm>
          <a:off x="2714625" y="6515100"/>
          <a:ext cx="1857375" cy="323850"/>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50</xdr:row>
      <xdr:rowOff>133350</xdr:rowOff>
    </xdr:from>
    <xdr:to>
      <xdr:col>4</xdr:col>
      <xdr:colOff>742950</xdr:colOff>
      <xdr:row>51</xdr:row>
      <xdr:rowOff>66675</xdr:rowOff>
    </xdr:to>
    <xdr:sp>
      <xdr:nvSpPr>
        <xdr:cNvPr id="8" name="Line 575"/>
        <xdr:cNvSpPr>
          <a:spLocks/>
        </xdr:cNvSpPr>
      </xdr:nvSpPr>
      <xdr:spPr>
        <a:xfrm flipV="1">
          <a:off x="2600325" y="8667750"/>
          <a:ext cx="6096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143</xdr:row>
      <xdr:rowOff>95250</xdr:rowOff>
    </xdr:from>
    <xdr:to>
      <xdr:col>4</xdr:col>
      <xdr:colOff>714375</xdr:colOff>
      <xdr:row>143</xdr:row>
      <xdr:rowOff>161925</xdr:rowOff>
    </xdr:to>
    <xdr:sp>
      <xdr:nvSpPr>
        <xdr:cNvPr id="9" name="Line 735"/>
        <xdr:cNvSpPr>
          <a:spLocks/>
        </xdr:cNvSpPr>
      </xdr:nvSpPr>
      <xdr:spPr>
        <a:xfrm flipV="1">
          <a:off x="2743200" y="24164925"/>
          <a:ext cx="438150" cy="66675"/>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141</xdr:row>
      <xdr:rowOff>95250</xdr:rowOff>
    </xdr:from>
    <xdr:to>
      <xdr:col>6</xdr:col>
      <xdr:colOff>47625</xdr:colOff>
      <xdr:row>142</xdr:row>
      <xdr:rowOff>133350</xdr:rowOff>
    </xdr:to>
    <xdr:sp>
      <xdr:nvSpPr>
        <xdr:cNvPr id="10" name="Line 736"/>
        <xdr:cNvSpPr>
          <a:spLocks/>
        </xdr:cNvSpPr>
      </xdr:nvSpPr>
      <xdr:spPr>
        <a:xfrm flipH="1">
          <a:off x="2447925" y="23812500"/>
          <a:ext cx="1533525" cy="219075"/>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141</xdr:row>
      <xdr:rowOff>95250</xdr:rowOff>
    </xdr:from>
    <xdr:to>
      <xdr:col>6</xdr:col>
      <xdr:colOff>600075</xdr:colOff>
      <xdr:row>141</xdr:row>
      <xdr:rowOff>95250</xdr:rowOff>
    </xdr:to>
    <xdr:sp>
      <xdr:nvSpPr>
        <xdr:cNvPr id="11" name="Line 737"/>
        <xdr:cNvSpPr>
          <a:spLocks/>
        </xdr:cNvSpPr>
      </xdr:nvSpPr>
      <xdr:spPr>
        <a:xfrm flipV="1">
          <a:off x="3962400" y="23812500"/>
          <a:ext cx="571500" cy="0"/>
        </a:xfrm>
        <a:prstGeom prst="line">
          <a:avLst/>
        </a:prstGeom>
        <a:noFill/>
        <a:ln w="9525" cmpd="sng">
          <a:solidFill>
            <a:srgbClr val="8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153</xdr:row>
      <xdr:rowOff>95250</xdr:rowOff>
    </xdr:from>
    <xdr:to>
      <xdr:col>6</xdr:col>
      <xdr:colOff>47625</xdr:colOff>
      <xdr:row>154</xdr:row>
      <xdr:rowOff>133350</xdr:rowOff>
    </xdr:to>
    <xdr:sp>
      <xdr:nvSpPr>
        <xdr:cNvPr id="12" name="Line 738"/>
        <xdr:cNvSpPr>
          <a:spLocks/>
        </xdr:cNvSpPr>
      </xdr:nvSpPr>
      <xdr:spPr>
        <a:xfrm flipH="1">
          <a:off x="2447925" y="25841325"/>
          <a:ext cx="1533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153</xdr:row>
      <xdr:rowOff>95250</xdr:rowOff>
    </xdr:from>
    <xdr:to>
      <xdr:col>6</xdr:col>
      <xdr:colOff>600075</xdr:colOff>
      <xdr:row>153</xdr:row>
      <xdr:rowOff>95250</xdr:rowOff>
    </xdr:to>
    <xdr:sp>
      <xdr:nvSpPr>
        <xdr:cNvPr id="13" name="Line 739"/>
        <xdr:cNvSpPr>
          <a:spLocks/>
        </xdr:cNvSpPr>
      </xdr:nvSpPr>
      <xdr:spPr>
        <a:xfrm flipV="1">
          <a:off x="3962400" y="25841325"/>
          <a:ext cx="571500" cy="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156</xdr:row>
      <xdr:rowOff>152400</xdr:rowOff>
    </xdr:from>
    <xdr:to>
      <xdr:col>6</xdr:col>
      <xdr:colOff>628650</xdr:colOff>
      <xdr:row>157</xdr:row>
      <xdr:rowOff>142875</xdr:rowOff>
    </xdr:to>
    <xdr:sp>
      <xdr:nvSpPr>
        <xdr:cNvPr id="14" name="Line 740"/>
        <xdr:cNvSpPr>
          <a:spLocks/>
        </xdr:cNvSpPr>
      </xdr:nvSpPr>
      <xdr:spPr>
        <a:xfrm>
          <a:off x="4210050" y="26422350"/>
          <a:ext cx="3524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144</xdr:row>
      <xdr:rowOff>9525</xdr:rowOff>
    </xdr:from>
    <xdr:to>
      <xdr:col>6</xdr:col>
      <xdr:colOff>638175</xdr:colOff>
      <xdr:row>146</xdr:row>
      <xdr:rowOff>9525</xdr:rowOff>
    </xdr:to>
    <xdr:sp>
      <xdr:nvSpPr>
        <xdr:cNvPr id="15" name="Line 741"/>
        <xdr:cNvSpPr>
          <a:spLocks/>
        </xdr:cNvSpPr>
      </xdr:nvSpPr>
      <xdr:spPr>
        <a:xfrm>
          <a:off x="2714625" y="24250650"/>
          <a:ext cx="1857375" cy="323850"/>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156</xdr:row>
      <xdr:rowOff>133350</xdr:rowOff>
    </xdr:from>
    <xdr:to>
      <xdr:col>4</xdr:col>
      <xdr:colOff>742950</xdr:colOff>
      <xdr:row>157</xdr:row>
      <xdr:rowOff>66675</xdr:rowOff>
    </xdr:to>
    <xdr:sp>
      <xdr:nvSpPr>
        <xdr:cNvPr id="16" name="Line 742"/>
        <xdr:cNvSpPr>
          <a:spLocks/>
        </xdr:cNvSpPr>
      </xdr:nvSpPr>
      <xdr:spPr>
        <a:xfrm flipV="1">
          <a:off x="2600325" y="26403300"/>
          <a:ext cx="6096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xdr:row>
      <xdr:rowOff>161925</xdr:rowOff>
    </xdr:from>
    <xdr:to>
      <xdr:col>4</xdr:col>
      <xdr:colOff>352425</xdr:colOff>
      <xdr:row>9</xdr:row>
      <xdr:rowOff>142875</xdr:rowOff>
    </xdr:to>
    <xdr:sp>
      <xdr:nvSpPr>
        <xdr:cNvPr id="17" name="Line 1011"/>
        <xdr:cNvSpPr>
          <a:spLocks/>
        </xdr:cNvSpPr>
      </xdr:nvSpPr>
      <xdr:spPr>
        <a:xfrm>
          <a:off x="2524125" y="1514475"/>
          <a:ext cx="295275" cy="1524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20</xdr:row>
      <xdr:rowOff>76200</xdr:rowOff>
    </xdr:from>
    <xdr:to>
      <xdr:col>6</xdr:col>
      <xdr:colOff>533400</xdr:colOff>
      <xdr:row>20</xdr:row>
      <xdr:rowOff>76200</xdr:rowOff>
    </xdr:to>
    <xdr:sp>
      <xdr:nvSpPr>
        <xdr:cNvPr id="18" name="Line 1014"/>
        <xdr:cNvSpPr>
          <a:spLocks/>
        </xdr:cNvSpPr>
      </xdr:nvSpPr>
      <xdr:spPr>
        <a:xfrm flipH="1">
          <a:off x="3790950" y="3457575"/>
          <a:ext cx="6762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8</xdr:row>
      <xdr:rowOff>142875</xdr:rowOff>
    </xdr:from>
    <xdr:to>
      <xdr:col>2</xdr:col>
      <xdr:colOff>571500</xdr:colOff>
      <xdr:row>9</xdr:row>
      <xdr:rowOff>133350</xdr:rowOff>
    </xdr:to>
    <xdr:sp>
      <xdr:nvSpPr>
        <xdr:cNvPr id="19" name="Line 1076"/>
        <xdr:cNvSpPr>
          <a:spLocks/>
        </xdr:cNvSpPr>
      </xdr:nvSpPr>
      <xdr:spPr>
        <a:xfrm flipV="1">
          <a:off x="1381125" y="1495425"/>
          <a:ext cx="2762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10</xdr:col>
      <xdr:colOff>638175</xdr:colOff>
      <xdr:row>23</xdr:row>
      <xdr:rowOff>114300</xdr:rowOff>
    </xdr:to>
    <xdr:graphicFrame>
      <xdr:nvGraphicFramePr>
        <xdr:cNvPr id="1" name="Chart 1"/>
        <xdr:cNvGraphicFramePr/>
      </xdr:nvGraphicFramePr>
      <xdr:xfrm>
        <a:off x="561975" y="57150"/>
        <a:ext cx="5915025" cy="378142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23</xdr:row>
      <xdr:rowOff>66675</xdr:rowOff>
    </xdr:from>
    <xdr:to>
      <xdr:col>10</xdr:col>
      <xdr:colOff>704850</xdr:colOff>
      <xdr:row>46</xdr:row>
      <xdr:rowOff>133350</xdr:rowOff>
    </xdr:to>
    <xdr:graphicFrame>
      <xdr:nvGraphicFramePr>
        <xdr:cNvPr id="2" name="Chart 3"/>
        <xdr:cNvGraphicFramePr/>
      </xdr:nvGraphicFramePr>
      <xdr:xfrm>
        <a:off x="571500" y="3790950"/>
        <a:ext cx="5972175" cy="3790950"/>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46</xdr:row>
      <xdr:rowOff>95250</xdr:rowOff>
    </xdr:from>
    <xdr:to>
      <xdr:col>11</xdr:col>
      <xdr:colOff>0</xdr:colOff>
      <xdr:row>70</xdr:row>
      <xdr:rowOff>0</xdr:rowOff>
    </xdr:to>
    <xdr:graphicFrame>
      <xdr:nvGraphicFramePr>
        <xdr:cNvPr id="3" name="Chart 4"/>
        <xdr:cNvGraphicFramePr/>
      </xdr:nvGraphicFramePr>
      <xdr:xfrm>
        <a:off x="581025" y="7543800"/>
        <a:ext cx="5972175" cy="379095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69</xdr:row>
      <xdr:rowOff>57150</xdr:rowOff>
    </xdr:from>
    <xdr:to>
      <xdr:col>10</xdr:col>
      <xdr:colOff>695325</xdr:colOff>
      <xdr:row>92</xdr:row>
      <xdr:rowOff>133350</xdr:rowOff>
    </xdr:to>
    <xdr:graphicFrame>
      <xdr:nvGraphicFramePr>
        <xdr:cNvPr id="4" name="Chart 5"/>
        <xdr:cNvGraphicFramePr/>
      </xdr:nvGraphicFramePr>
      <xdr:xfrm>
        <a:off x="552450" y="11229975"/>
        <a:ext cx="5981700" cy="3800475"/>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92</xdr:row>
      <xdr:rowOff>85725</xdr:rowOff>
    </xdr:from>
    <xdr:to>
      <xdr:col>10</xdr:col>
      <xdr:colOff>695325</xdr:colOff>
      <xdr:row>116</xdr:row>
      <xdr:rowOff>0</xdr:rowOff>
    </xdr:to>
    <xdr:graphicFrame>
      <xdr:nvGraphicFramePr>
        <xdr:cNvPr id="5" name="Chart 6"/>
        <xdr:cNvGraphicFramePr/>
      </xdr:nvGraphicFramePr>
      <xdr:xfrm>
        <a:off x="552450" y="14982825"/>
        <a:ext cx="5981700" cy="3800475"/>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115</xdr:row>
      <xdr:rowOff>47625</xdr:rowOff>
    </xdr:from>
    <xdr:to>
      <xdr:col>10</xdr:col>
      <xdr:colOff>704850</xdr:colOff>
      <xdr:row>139</xdr:row>
      <xdr:rowOff>85725</xdr:rowOff>
    </xdr:to>
    <xdr:graphicFrame>
      <xdr:nvGraphicFramePr>
        <xdr:cNvPr id="6" name="Chart 8"/>
        <xdr:cNvGraphicFramePr/>
      </xdr:nvGraphicFramePr>
      <xdr:xfrm>
        <a:off x="542925" y="18669000"/>
        <a:ext cx="6000750" cy="3924300"/>
      </xdr:xfrm>
      <a:graphic>
        <a:graphicData uri="http://schemas.openxmlformats.org/drawingml/2006/chart">
          <c:chart xmlns:c="http://schemas.openxmlformats.org/drawingml/2006/chart" r:id="rId6"/>
        </a:graphicData>
      </a:graphic>
    </xdr:graphicFrame>
    <xdr:clientData/>
  </xdr:twoCellAnchor>
  <xdr:twoCellAnchor>
    <xdr:from>
      <xdr:col>12</xdr:col>
      <xdr:colOff>590550</xdr:colOff>
      <xdr:row>0</xdr:row>
      <xdr:rowOff>38100</xdr:rowOff>
    </xdr:from>
    <xdr:to>
      <xdr:col>22</xdr:col>
      <xdr:colOff>419100</xdr:colOff>
      <xdr:row>23</xdr:row>
      <xdr:rowOff>104775</xdr:rowOff>
    </xdr:to>
    <xdr:graphicFrame>
      <xdr:nvGraphicFramePr>
        <xdr:cNvPr id="7" name="Chart 19"/>
        <xdr:cNvGraphicFramePr/>
      </xdr:nvGraphicFramePr>
      <xdr:xfrm>
        <a:off x="7753350" y="38100"/>
        <a:ext cx="5924550" cy="3790950"/>
      </xdr:xfrm>
      <a:graphic>
        <a:graphicData uri="http://schemas.openxmlformats.org/drawingml/2006/chart">
          <c:chart xmlns:c="http://schemas.openxmlformats.org/drawingml/2006/chart" r:id="rId7"/>
        </a:graphicData>
      </a:graphic>
    </xdr:graphicFrame>
    <xdr:clientData/>
  </xdr:twoCellAnchor>
  <xdr:twoCellAnchor>
    <xdr:from>
      <xdr:col>13</xdr:col>
      <xdr:colOff>0</xdr:colOff>
      <xdr:row>29</xdr:row>
      <xdr:rowOff>0</xdr:rowOff>
    </xdr:from>
    <xdr:to>
      <xdr:col>22</xdr:col>
      <xdr:colOff>447675</xdr:colOff>
      <xdr:row>52</xdr:row>
      <xdr:rowOff>76200</xdr:rowOff>
    </xdr:to>
    <xdr:graphicFrame>
      <xdr:nvGraphicFramePr>
        <xdr:cNvPr id="8" name="Chart 22"/>
        <xdr:cNvGraphicFramePr/>
      </xdr:nvGraphicFramePr>
      <xdr:xfrm>
        <a:off x="7772400" y="4695825"/>
        <a:ext cx="5934075" cy="3800475"/>
      </xdr:xfrm>
      <a:graphic>
        <a:graphicData uri="http://schemas.openxmlformats.org/drawingml/2006/chart">
          <c:chart xmlns:c="http://schemas.openxmlformats.org/drawingml/2006/chart" r:id="rId8"/>
        </a:graphicData>
      </a:graphic>
    </xdr:graphicFrame>
    <xdr:clientData/>
  </xdr:twoCellAnchor>
  <xdr:twoCellAnchor>
    <xdr:from>
      <xdr:col>18</xdr:col>
      <xdr:colOff>133350</xdr:colOff>
      <xdr:row>22</xdr:row>
      <xdr:rowOff>38100</xdr:rowOff>
    </xdr:from>
    <xdr:to>
      <xdr:col>19</xdr:col>
      <xdr:colOff>342900</xdr:colOff>
      <xdr:row>27</xdr:row>
      <xdr:rowOff>76200</xdr:rowOff>
    </xdr:to>
    <xdr:sp>
      <xdr:nvSpPr>
        <xdr:cNvPr id="9" name="Line 23"/>
        <xdr:cNvSpPr>
          <a:spLocks/>
        </xdr:cNvSpPr>
      </xdr:nvSpPr>
      <xdr:spPr>
        <a:xfrm flipV="1">
          <a:off x="10953750" y="3600450"/>
          <a:ext cx="81915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27</xdr:row>
      <xdr:rowOff>85725</xdr:rowOff>
    </xdr:from>
    <xdr:to>
      <xdr:col>19</xdr:col>
      <xdr:colOff>57150</xdr:colOff>
      <xdr:row>32</xdr:row>
      <xdr:rowOff>123825</xdr:rowOff>
    </xdr:to>
    <xdr:sp>
      <xdr:nvSpPr>
        <xdr:cNvPr id="10" name="Line 24"/>
        <xdr:cNvSpPr>
          <a:spLocks/>
        </xdr:cNvSpPr>
      </xdr:nvSpPr>
      <xdr:spPr>
        <a:xfrm>
          <a:off x="10953750" y="4457700"/>
          <a:ext cx="53340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37</xdr:row>
      <xdr:rowOff>95250</xdr:rowOff>
    </xdr:from>
    <xdr:to>
      <xdr:col>4</xdr:col>
      <xdr:colOff>714375</xdr:colOff>
      <xdr:row>37</xdr:row>
      <xdr:rowOff>161925</xdr:rowOff>
    </xdr:to>
    <xdr:sp>
      <xdr:nvSpPr>
        <xdr:cNvPr id="1" name="Line 275"/>
        <xdr:cNvSpPr>
          <a:spLocks/>
        </xdr:cNvSpPr>
      </xdr:nvSpPr>
      <xdr:spPr>
        <a:xfrm flipV="1">
          <a:off x="2743200" y="6429375"/>
          <a:ext cx="438150" cy="66675"/>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35</xdr:row>
      <xdr:rowOff>95250</xdr:rowOff>
    </xdr:from>
    <xdr:to>
      <xdr:col>6</xdr:col>
      <xdr:colOff>47625</xdr:colOff>
      <xdr:row>36</xdr:row>
      <xdr:rowOff>133350</xdr:rowOff>
    </xdr:to>
    <xdr:sp>
      <xdr:nvSpPr>
        <xdr:cNvPr id="2" name="Line 276"/>
        <xdr:cNvSpPr>
          <a:spLocks/>
        </xdr:cNvSpPr>
      </xdr:nvSpPr>
      <xdr:spPr>
        <a:xfrm flipH="1">
          <a:off x="2447925" y="6076950"/>
          <a:ext cx="1533525" cy="219075"/>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35</xdr:row>
      <xdr:rowOff>95250</xdr:rowOff>
    </xdr:from>
    <xdr:to>
      <xdr:col>6</xdr:col>
      <xdr:colOff>600075</xdr:colOff>
      <xdr:row>35</xdr:row>
      <xdr:rowOff>95250</xdr:rowOff>
    </xdr:to>
    <xdr:sp>
      <xdr:nvSpPr>
        <xdr:cNvPr id="3" name="Line 277"/>
        <xdr:cNvSpPr>
          <a:spLocks/>
        </xdr:cNvSpPr>
      </xdr:nvSpPr>
      <xdr:spPr>
        <a:xfrm flipV="1">
          <a:off x="3962400" y="6076950"/>
          <a:ext cx="571500" cy="0"/>
        </a:xfrm>
        <a:prstGeom prst="line">
          <a:avLst/>
        </a:prstGeom>
        <a:noFill/>
        <a:ln w="9525" cmpd="sng">
          <a:solidFill>
            <a:srgbClr val="8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47</xdr:row>
      <xdr:rowOff>95250</xdr:rowOff>
    </xdr:from>
    <xdr:to>
      <xdr:col>6</xdr:col>
      <xdr:colOff>47625</xdr:colOff>
      <xdr:row>48</xdr:row>
      <xdr:rowOff>133350</xdr:rowOff>
    </xdr:to>
    <xdr:sp>
      <xdr:nvSpPr>
        <xdr:cNvPr id="4" name="Line 278"/>
        <xdr:cNvSpPr>
          <a:spLocks/>
        </xdr:cNvSpPr>
      </xdr:nvSpPr>
      <xdr:spPr>
        <a:xfrm flipH="1">
          <a:off x="2447925" y="8105775"/>
          <a:ext cx="1533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47</xdr:row>
      <xdr:rowOff>95250</xdr:rowOff>
    </xdr:from>
    <xdr:to>
      <xdr:col>6</xdr:col>
      <xdr:colOff>600075</xdr:colOff>
      <xdr:row>47</xdr:row>
      <xdr:rowOff>95250</xdr:rowOff>
    </xdr:to>
    <xdr:sp>
      <xdr:nvSpPr>
        <xdr:cNvPr id="5" name="Line 279"/>
        <xdr:cNvSpPr>
          <a:spLocks/>
        </xdr:cNvSpPr>
      </xdr:nvSpPr>
      <xdr:spPr>
        <a:xfrm flipV="1">
          <a:off x="3962400" y="8105775"/>
          <a:ext cx="571500" cy="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50</xdr:row>
      <xdr:rowOff>152400</xdr:rowOff>
    </xdr:from>
    <xdr:to>
      <xdr:col>6</xdr:col>
      <xdr:colOff>628650</xdr:colOff>
      <xdr:row>51</xdr:row>
      <xdr:rowOff>142875</xdr:rowOff>
    </xdr:to>
    <xdr:sp>
      <xdr:nvSpPr>
        <xdr:cNvPr id="6" name="Line 280"/>
        <xdr:cNvSpPr>
          <a:spLocks/>
        </xdr:cNvSpPr>
      </xdr:nvSpPr>
      <xdr:spPr>
        <a:xfrm>
          <a:off x="4210050" y="8686800"/>
          <a:ext cx="3524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38</xdr:row>
      <xdr:rowOff>9525</xdr:rowOff>
    </xdr:from>
    <xdr:to>
      <xdr:col>6</xdr:col>
      <xdr:colOff>638175</xdr:colOff>
      <xdr:row>40</xdr:row>
      <xdr:rowOff>9525</xdr:rowOff>
    </xdr:to>
    <xdr:sp>
      <xdr:nvSpPr>
        <xdr:cNvPr id="7" name="Line 281"/>
        <xdr:cNvSpPr>
          <a:spLocks/>
        </xdr:cNvSpPr>
      </xdr:nvSpPr>
      <xdr:spPr>
        <a:xfrm>
          <a:off x="2714625" y="6515100"/>
          <a:ext cx="1857375" cy="323850"/>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50</xdr:row>
      <xdr:rowOff>133350</xdr:rowOff>
    </xdr:from>
    <xdr:to>
      <xdr:col>4</xdr:col>
      <xdr:colOff>742950</xdr:colOff>
      <xdr:row>51</xdr:row>
      <xdr:rowOff>66675</xdr:rowOff>
    </xdr:to>
    <xdr:sp>
      <xdr:nvSpPr>
        <xdr:cNvPr id="8" name="Line 282"/>
        <xdr:cNvSpPr>
          <a:spLocks/>
        </xdr:cNvSpPr>
      </xdr:nvSpPr>
      <xdr:spPr>
        <a:xfrm flipV="1">
          <a:off x="2600325" y="8667750"/>
          <a:ext cx="6096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143</xdr:row>
      <xdr:rowOff>95250</xdr:rowOff>
    </xdr:from>
    <xdr:to>
      <xdr:col>4</xdr:col>
      <xdr:colOff>714375</xdr:colOff>
      <xdr:row>143</xdr:row>
      <xdr:rowOff>161925</xdr:rowOff>
    </xdr:to>
    <xdr:sp>
      <xdr:nvSpPr>
        <xdr:cNvPr id="9" name="Line 283"/>
        <xdr:cNvSpPr>
          <a:spLocks/>
        </xdr:cNvSpPr>
      </xdr:nvSpPr>
      <xdr:spPr>
        <a:xfrm flipV="1">
          <a:off x="2743200" y="24164925"/>
          <a:ext cx="438150" cy="66675"/>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141</xdr:row>
      <xdr:rowOff>95250</xdr:rowOff>
    </xdr:from>
    <xdr:to>
      <xdr:col>6</xdr:col>
      <xdr:colOff>47625</xdr:colOff>
      <xdr:row>142</xdr:row>
      <xdr:rowOff>133350</xdr:rowOff>
    </xdr:to>
    <xdr:sp>
      <xdr:nvSpPr>
        <xdr:cNvPr id="10" name="Line 284"/>
        <xdr:cNvSpPr>
          <a:spLocks/>
        </xdr:cNvSpPr>
      </xdr:nvSpPr>
      <xdr:spPr>
        <a:xfrm flipH="1">
          <a:off x="2447925" y="23812500"/>
          <a:ext cx="1533525" cy="219075"/>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141</xdr:row>
      <xdr:rowOff>95250</xdr:rowOff>
    </xdr:from>
    <xdr:to>
      <xdr:col>6</xdr:col>
      <xdr:colOff>600075</xdr:colOff>
      <xdr:row>141</xdr:row>
      <xdr:rowOff>95250</xdr:rowOff>
    </xdr:to>
    <xdr:sp>
      <xdr:nvSpPr>
        <xdr:cNvPr id="11" name="Line 285"/>
        <xdr:cNvSpPr>
          <a:spLocks/>
        </xdr:cNvSpPr>
      </xdr:nvSpPr>
      <xdr:spPr>
        <a:xfrm flipV="1">
          <a:off x="3962400" y="23812500"/>
          <a:ext cx="571500" cy="0"/>
        </a:xfrm>
        <a:prstGeom prst="line">
          <a:avLst/>
        </a:prstGeom>
        <a:noFill/>
        <a:ln w="9525" cmpd="sng">
          <a:solidFill>
            <a:srgbClr val="8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153</xdr:row>
      <xdr:rowOff>95250</xdr:rowOff>
    </xdr:from>
    <xdr:to>
      <xdr:col>6</xdr:col>
      <xdr:colOff>47625</xdr:colOff>
      <xdr:row>154</xdr:row>
      <xdr:rowOff>133350</xdr:rowOff>
    </xdr:to>
    <xdr:sp>
      <xdr:nvSpPr>
        <xdr:cNvPr id="12" name="Line 286"/>
        <xdr:cNvSpPr>
          <a:spLocks/>
        </xdr:cNvSpPr>
      </xdr:nvSpPr>
      <xdr:spPr>
        <a:xfrm flipH="1">
          <a:off x="2447925" y="25841325"/>
          <a:ext cx="1533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153</xdr:row>
      <xdr:rowOff>95250</xdr:rowOff>
    </xdr:from>
    <xdr:to>
      <xdr:col>6</xdr:col>
      <xdr:colOff>600075</xdr:colOff>
      <xdr:row>153</xdr:row>
      <xdr:rowOff>95250</xdr:rowOff>
    </xdr:to>
    <xdr:sp>
      <xdr:nvSpPr>
        <xdr:cNvPr id="13" name="Line 287"/>
        <xdr:cNvSpPr>
          <a:spLocks/>
        </xdr:cNvSpPr>
      </xdr:nvSpPr>
      <xdr:spPr>
        <a:xfrm flipV="1">
          <a:off x="3962400" y="25841325"/>
          <a:ext cx="571500" cy="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156</xdr:row>
      <xdr:rowOff>152400</xdr:rowOff>
    </xdr:from>
    <xdr:to>
      <xdr:col>6</xdr:col>
      <xdr:colOff>628650</xdr:colOff>
      <xdr:row>157</xdr:row>
      <xdr:rowOff>142875</xdr:rowOff>
    </xdr:to>
    <xdr:sp>
      <xdr:nvSpPr>
        <xdr:cNvPr id="14" name="Line 288"/>
        <xdr:cNvSpPr>
          <a:spLocks/>
        </xdr:cNvSpPr>
      </xdr:nvSpPr>
      <xdr:spPr>
        <a:xfrm>
          <a:off x="4210050" y="26422350"/>
          <a:ext cx="3524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144</xdr:row>
      <xdr:rowOff>9525</xdr:rowOff>
    </xdr:from>
    <xdr:to>
      <xdr:col>6</xdr:col>
      <xdr:colOff>638175</xdr:colOff>
      <xdr:row>146</xdr:row>
      <xdr:rowOff>9525</xdr:rowOff>
    </xdr:to>
    <xdr:sp>
      <xdr:nvSpPr>
        <xdr:cNvPr id="15" name="Line 289"/>
        <xdr:cNvSpPr>
          <a:spLocks/>
        </xdr:cNvSpPr>
      </xdr:nvSpPr>
      <xdr:spPr>
        <a:xfrm>
          <a:off x="2714625" y="24250650"/>
          <a:ext cx="1857375" cy="323850"/>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156</xdr:row>
      <xdr:rowOff>133350</xdr:rowOff>
    </xdr:from>
    <xdr:to>
      <xdr:col>4</xdr:col>
      <xdr:colOff>742950</xdr:colOff>
      <xdr:row>157</xdr:row>
      <xdr:rowOff>66675</xdr:rowOff>
    </xdr:to>
    <xdr:sp>
      <xdr:nvSpPr>
        <xdr:cNvPr id="16" name="Line 290"/>
        <xdr:cNvSpPr>
          <a:spLocks/>
        </xdr:cNvSpPr>
      </xdr:nvSpPr>
      <xdr:spPr>
        <a:xfrm flipV="1">
          <a:off x="2600325" y="26403300"/>
          <a:ext cx="6096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xdr:row>
      <xdr:rowOff>161925</xdr:rowOff>
    </xdr:from>
    <xdr:to>
      <xdr:col>4</xdr:col>
      <xdr:colOff>352425</xdr:colOff>
      <xdr:row>9</xdr:row>
      <xdr:rowOff>142875</xdr:rowOff>
    </xdr:to>
    <xdr:sp>
      <xdr:nvSpPr>
        <xdr:cNvPr id="17" name="Line 291"/>
        <xdr:cNvSpPr>
          <a:spLocks/>
        </xdr:cNvSpPr>
      </xdr:nvSpPr>
      <xdr:spPr>
        <a:xfrm>
          <a:off x="2524125" y="1514475"/>
          <a:ext cx="295275" cy="1524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20</xdr:row>
      <xdr:rowOff>76200</xdr:rowOff>
    </xdr:from>
    <xdr:to>
      <xdr:col>6</xdr:col>
      <xdr:colOff>533400</xdr:colOff>
      <xdr:row>20</xdr:row>
      <xdr:rowOff>76200</xdr:rowOff>
    </xdr:to>
    <xdr:sp>
      <xdr:nvSpPr>
        <xdr:cNvPr id="18" name="Line 292"/>
        <xdr:cNvSpPr>
          <a:spLocks/>
        </xdr:cNvSpPr>
      </xdr:nvSpPr>
      <xdr:spPr>
        <a:xfrm flipH="1">
          <a:off x="3790950" y="3457575"/>
          <a:ext cx="6762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8</xdr:row>
      <xdr:rowOff>142875</xdr:rowOff>
    </xdr:from>
    <xdr:to>
      <xdr:col>2</xdr:col>
      <xdr:colOff>571500</xdr:colOff>
      <xdr:row>9</xdr:row>
      <xdr:rowOff>133350</xdr:rowOff>
    </xdr:to>
    <xdr:sp>
      <xdr:nvSpPr>
        <xdr:cNvPr id="19" name="Line 293"/>
        <xdr:cNvSpPr>
          <a:spLocks/>
        </xdr:cNvSpPr>
      </xdr:nvSpPr>
      <xdr:spPr>
        <a:xfrm flipV="1">
          <a:off x="1381125" y="1495425"/>
          <a:ext cx="2762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37</xdr:row>
      <xdr:rowOff>95250</xdr:rowOff>
    </xdr:from>
    <xdr:to>
      <xdr:col>4</xdr:col>
      <xdr:colOff>714375</xdr:colOff>
      <xdr:row>37</xdr:row>
      <xdr:rowOff>161925</xdr:rowOff>
    </xdr:to>
    <xdr:sp>
      <xdr:nvSpPr>
        <xdr:cNvPr id="20" name="Line 429"/>
        <xdr:cNvSpPr>
          <a:spLocks/>
        </xdr:cNvSpPr>
      </xdr:nvSpPr>
      <xdr:spPr>
        <a:xfrm flipV="1">
          <a:off x="2743200" y="6429375"/>
          <a:ext cx="438150" cy="66675"/>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35</xdr:row>
      <xdr:rowOff>95250</xdr:rowOff>
    </xdr:from>
    <xdr:to>
      <xdr:col>6</xdr:col>
      <xdr:colOff>47625</xdr:colOff>
      <xdr:row>36</xdr:row>
      <xdr:rowOff>133350</xdr:rowOff>
    </xdr:to>
    <xdr:sp>
      <xdr:nvSpPr>
        <xdr:cNvPr id="21" name="Line 430"/>
        <xdr:cNvSpPr>
          <a:spLocks/>
        </xdr:cNvSpPr>
      </xdr:nvSpPr>
      <xdr:spPr>
        <a:xfrm flipH="1">
          <a:off x="2447925" y="6076950"/>
          <a:ext cx="1533525" cy="219075"/>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35</xdr:row>
      <xdr:rowOff>95250</xdr:rowOff>
    </xdr:from>
    <xdr:to>
      <xdr:col>6</xdr:col>
      <xdr:colOff>600075</xdr:colOff>
      <xdr:row>35</xdr:row>
      <xdr:rowOff>95250</xdr:rowOff>
    </xdr:to>
    <xdr:sp>
      <xdr:nvSpPr>
        <xdr:cNvPr id="22" name="Line 431"/>
        <xdr:cNvSpPr>
          <a:spLocks/>
        </xdr:cNvSpPr>
      </xdr:nvSpPr>
      <xdr:spPr>
        <a:xfrm flipV="1">
          <a:off x="3962400" y="6076950"/>
          <a:ext cx="571500" cy="0"/>
        </a:xfrm>
        <a:prstGeom prst="line">
          <a:avLst/>
        </a:prstGeom>
        <a:noFill/>
        <a:ln w="9525" cmpd="sng">
          <a:solidFill>
            <a:srgbClr val="8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47</xdr:row>
      <xdr:rowOff>95250</xdr:rowOff>
    </xdr:from>
    <xdr:to>
      <xdr:col>6</xdr:col>
      <xdr:colOff>47625</xdr:colOff>
      <xdr:row>48</xdr:row>
      <xdr:rowOff>133350</xdr:rowOff>
    </xdr:to>
    <xdr:sp>
      <xdr:nvSpPr>
        <xdr:cNvPr id="23" name="Line 508"/>
        <xdr:cNvSpPr>
          <a:spLocks/>
        </xdr:cNvSpPr>
      </xdr:nvSpPr>
      <xdr:spPr>
        <a:xfrm flipH="1">
          <a:off x="2447925" y="8105775"/>
          <a:ext cx="1533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47</xdr:row>
      <xdr:rowOff>95250</xdr:rowOff>
    </xdr:from>
    <xdr:to>
      <xdr:col>6</xdr:col>
      <xdr:colOff>600075</xdr:colOff>
      <xdr:row>47</xdr:row>
      <xdr:rowOff>95250</xdr:rowOff>
    </xdr:to>
    <xdr:sp>
      <xdr:nvSpPr>
        <xdr:cNvPr id="24" name="Line 509"/>
        <xdr:cNvSpPr>
          <a:spLocks/>
        </xdr:cNvSpPr>
      </xdr:nvSpPr>
      <xdr:spPr>
        <a:xfrm flipV="1">
          <a:off x="3962400" y="8105775"/>
          <a:ext cx="571500" cy="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50</xdr:row>
      <xdr:rowOff>152400</xdr:rowOff>
    </xdr:from>
    <xdr:to>
      <xdr:col>6</xdr:col>
      <xdr:colOff>628650</xdr:colOff>
      <xdr:row>51</xdr:row>
      <xdr:rowOff>142875</xdr:rowOff>
    </xdr:to>
    <xdr:sp>
      <xdr:nvSpPr>
        <xdr:cNvPr id="25" name="Line 511"/>
        <xdr:cNvSpPr>
          <a:spLocks/>
        </xdr:cNvSpPr>
      </xdr:nvSpPr>
      <xdr:spPr>
        <a:xfrm>
          <a:off x="4210050" y="8686800"/>
          <a:ext cx="3524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38</xdr:row>
      <xdr:rowOff>9525</xdr:rowOff>
    </xdr:from>
    <xdr:to>
      <xdr:col>6</xdr:col>
      <xdr:colOff>638175</xdr:colOff>
      <xdr:row>40</xdr:row>
      <xdr:rowOff>9525</xdr:rowOff>
    </xdr:to>
    <xdr:sp>
      <xdr:nvSpPr>
        <xdr:cNvPr id="26" name="Line 567"/>
        <xdr:cNvSpPr>
          <a:spLocks/>
        </xdr:cNvSpPr>
      </xdr:nvSpPr>
      <xdr:spPr>
        <a:xfrm>
          <a:off x="2714625" y="6515100"/>
          <a:ext cx="1857375" cy="323850"/>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50</xdr:row>
      <xdr:rowOff>133350</xdr:rowOff>
    </xdr:from>
    <xdr:to>
      <xdr:col>4</xdr:col>
      <xdr:colOff>742950</xdr:colOff>
      <xdr:row>51</xdr:row>
      <xdr:rowOff>66675</xdr:rowOff>
    </xdr:to>
    <xdr:sp>
      <xdr:nvSpPr>
        <xdr:cNvPr id="27" name="Line 575"/>
        <xdr:cNvSpPr>
          <a:spLocks/>
        </xdr:cNvSpPr>
      </xdr:nvSpPr>
      <xdr:spPr>
        <a:xfrm flipV="1">
          <a:off x="2600325" y="8667750"/>
          <a:ext cx="6096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143</xdr:row>
      <xdr:rowOff>95250</xdr:rowOff>
    </xdr:from>
    <xdr:to>
      <xdr:col>4</xdr:col>
      <xdr:colOff>714375</xdr:colOff>
      <xdr:row>143</xdr:row>
      <xdr:rowOff>161925</xdr:rowOff>
    </xdr:to>
    <xdr:sp>
      <xdr:nvSpPr>
        <xdr:cNvPr id="28" name="Line 735"/>
        <xdr:cNvSpPr>
          <a:spLocks/>
        </xdr:cNvSpPr>
      </xdr:nvSpPr>
      <xdr:spPr>
        <a:xfrm flipV="1">
          <a:off x="2743200" y="24164925"/>
          <a:ext cx="438150" cy="66675"/>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141</xdr:row>
      <xdr:rowOff>95250</xdr:rowOff>
    </xdr:from>
    <xdr:to>
      <xdr:col>6</xdr:col>
      <xdr:colOff>47625</xdr:colOff>
      <xdr:row>142</xdr:row>
      <xdr:rowOff>133350</xdr:rowOff>
    </xdr:to>
    <xdr:sp>
      <xdr:nvSpPr>
        <xdr:cNvPr id="29" name="Line 736"/>
        <xdr:cNvSpPr>
          <a:spLocks/>
        </xdr:cNvSpPr>
      </xdr:nvSpPr>
      <xdr:spPr>
        <a:xfrm flipH="1">
          <a:off x="2447925" y="23812500"/>
          <a:ext cx="1533525" cy="219075"/>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141</xdr:row>
      <xdr:rowOff>95250</xdr:rowOff>
    </xdr:from>
    <xdr:to>
      <xdr:col>6</xdr:col>
      <xdr:colOff>600075</xdr:colOff>
      <xdr:row>141</xdr:row>
      <xdr:rowOff>95250</xdr:rowOff>
    </xdr:to>
    <xdr:sp>
      <xdr:nvSpPr>
        <xdr:cNvPr id="30" name="Line 737"/>
        <xdr:cNvSpPr>
          <a:spLocks/>
        </xdr:cNvSpPr>
      </xdr:nvSpPr>
      <xdr:spPr>
        <a:xfrm flipV="1">
          <a:off x="3962400" y="23812500"/>
          <a:ext cx="571500" cy="0"/>
        </a:xfrm>
        <a:prstGeom prst="line">
          <a:avLst/>
        </a:prstGeom>
        <a:noFill/>
        <a:ln w="9525" cmpd="sng">
          <a:solidFill>
            <a:srgbClr val="8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153</xdr:row>
      <xdr:rowOff>95250</xdr:rowOff>
    </xdr:from>
    <xdr:to>
      <xdr:col>6</xdr:col>
      <xdr:colOff>47625</xdr:colOff>
      <xdr:row>154</xdr:row>
      <xdr:rowOff>133350</xdr:rowOff>
    </xdr:to>
    <xdr:sp>
      <xdr:nvSpPr>
        <xdr:cNvPr id="31" name="Line 738"/>
        <xdr:cNvSpPr>
          <a:spLocks/>
        </xdr:cNvSpPr>
      </xdr:nvSpPr>
      <xdr:spPr>
        <a:xfrm flipH="1">
          <a:off x="2447925" y="25841325"/>
          <a:ext cx="1533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153</xdr:row>
      <xdr:rowOff>95250</xdr:rowOff>
    </xdr:from>
    <xdr:to>
      <xdr:col>6</xdr:col>
      <xdr:colOff>600075</xdr:colOff>
      <xdr:row>153</xdr:row>
      <xdr:rowOff>95250</xdr:rowOff>
    </xdr:to>
    <xdr:sp>
      <xdr:nvSpPr>
        <xdr:cNvPr id="32" name="Line 739"/>
        <xdr:cNvSpPr>
          <a:spLocks/>
        </xdr:cNvSpPr>
      </xdr:nvSpPr>
      <xdr:spPr>
        <a:xfrm flipV="1">
          <a:off x="3962400" y="25841325"/>
          <a:ext cx="571500" cy="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156</xdr:row>
      <xdr:rowOff>152400</xdr:rowOff>
    </xdr:from>
    <xdr:to>
      <xdr:col>6</xdr:col>
      <xdr:colOff>628650</xdr:colOff>
      <xdr:row>157</xdr:row>
      <xdr:rowOff>142875</xdr:rowOff>
    </xdr:to>
    <xdr:sp>
      <xdr:nvSpPr>
        <xdr:cNvPr id="33" name="Line 740"/>
        <xdr:cNvSpPr>
          <a:spLocks/>
        </xdr:cNvSpPr>
      </xdr:nvSpPr>
      <xdr:spPr>
        <a:xfrm>
          <a:off x="4210050" y="26422350"/>
          <a:ext cx="3524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144</xdr:row>
      <xdr:rowOff>9525</xdr:rowOff>
    </xdr:from>
    <xdr:to>
      <xdr:col>6</xdr:col>
      <xdr:colOff>638175</xdr:colOff>
      <xdr:row>146</xdr:row>
      <xdr:rowOff>9525</xdr:rowOff>
    </xdr:to>
    <xdr:sp>
      <xdr:nvSpPr>
        <xdr:cNvPr id="34" name="Line 741"/>
        <xdr:cNvSpPr>
          <a:spLocks/>
        </xdr:cNvSpPr>
      </xdr:nvSpPr>
      <xdr:spPr>
        <a:xfrm>
          <a:off x="2714625" y="24250650"/>
          <a:ext cx="1857375" cy="323850"/>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156</xdr:row>
      <xdr:rowOff>133350</xdr:rowOff>
    </xdr:from>
    <xdr:to>
      <xdr:col>4</xdr:col>
      <xdr:colOff>742950</xdr:colOff>
      <xdr:row>157</xdr:row>
      <xdr:rowOff>66675</xdr:rowOff>
    </xdr:to>
    <xdr:sp>
      <xdr:nvSpPr>
        <xdr:cNvPr id="35" name="Line 742"/>
        <xdr:cNvSpPr>
          <a:spLocks/>
        </xdr:cNvSpPr>
      </xdr:nvSpPr>
      <xdr:spPr>
        <a:xfrm flipV="1">
          <a:off x="2600325" y="26403300"/>
          <a:ext cx="6096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xdr:row>
      <xdr:rowOff>161925</xdr:rowOff>
    </xdr:from>
    <xdr:to>
      <xdr:col>4</xdr:col>
      <xdr:colOff>352425</xdr:colOff>
      <xdr:row>9</xdr:row>
      <xdr:rowOff>142875</xdr:rowOff>
    </xdr:to>
    <xdr:sp>
      <xdr:nvSpPr>
        <xdr:cNvPr id="36" name="Line 1011"/>
        <xdr:cNvSpPr>
          <a:spLocks/>
        </xdr:cNvSpPr>
      </xdr:nvSpPr>
      <xdr:spPr>
        <a:xfrm>
          <a:off x="2524125" y="1514475"/>
          <a:ext cx="295275" cy="1524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20</xdr:row>
      <xdr:rowOff>76200</xdr:rowOff>
    </xdr:from>
    <xdr:to>
      <xdr:col>6</xdr:col>
      <xdr:colOff>533400</xdr:colOff>
      <xdr:row>20</xdr:row>
      <xdr:rowOff>76200</xdr:rowOff>
    </xdr:to>
    <xdr:sp>
      <xdr:nvSpPr>
        <xdr:cNvPr id="37" name="Line 1014"/>
        <xdr:cNvSpPr>
          <a:spLocks/>
        </xdr:cNvSpPr>
      </xdr:nvSpPr>
      <xdr:spPr>
        <a:xfrm flipH="1">
          <a:off x="3790950" y="3457575"/>
          <a:ext cx="6762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8</xdr:row>
      <xdr:rowOff>142875</xdr:rowOff>
    </xdr:from>
    <xdr:to>
      <xdr:col>2</xdr:col>
      <xdr:colOff>571500</xdr:colOff>
      <xdr:row>9</xdr:row>
      <xdr:rowOff>133350</xdr:rowOff>
    </xdr:to>
    <xdr:sp>
      <xdr:nvSpPr>
        <xdr:cNvPr id="38" name="Line 1076"/>
        <xdr:cNvSpPr>
          <a:spLocks/>
        </xdr:cNvSpPr>
      </xdr:nvSpPr>
      <xdr:spPr>
        <a:xfrm flipV="1">
          <a:off x="1381125" y="1495425"/>
          <a:ext cx="2762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vmlDrawing" Target="../drawings/vmlDrawing3.vml" /><Relationship Id="rId6"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tabColor indexed="10"/>
  </sheetPr>
  <dimension ref="A1:AW203"/>
  <sheetViews>
    <sheetView tabSelected="1" zoomScalePageLayoutView="0" workbookViewId="0" topLeftCell="A1">
      <selection activeCell="A2" sqref="A2"/>
    </sheetView>
  </sheetViews>
  <sheetFormatPr defaultColWidth="10.28125" defaultRowHeight="12.75"/>
  <cols>
    <col min="1" max="1" width="3.140625" style="686" customWidth="1"/>
    <col min="2" max="2" width="13.28125" style="10" customWidth="1"/>
    <col min="3" max="3" width="9.8515625" style="10" customWidth="1"/>
    <col min="4" max="4" width="10.7109375" style="10" customWidth="1"/>
    <col min="5" max="5" width="11.57421875" style="10" customWidth="1"/>
    <col min="6" max="6" width="10.421875" style="10" customWidth="1"/>
    <col min="7" max="7" width="9.57421875" style="10" customWidth="1"/>
    <col min="8" max="8" width="11.140625" style="10" customWidth="1"/>
    <col min="9" max="9" width="10.8515625" style="10" customWidth="1"/>
    <col min="10" max="10" width="8.00390625" style="10" customWidth="1"/>
    <col min="11" max="11" width="11.00390625" style="10" customWidth="1"/>
    <col min="12" max="12" width="10.28125" style="10" customWidth="1"/>
    <col min="13" max="15" width="10.7109375" style="10" customWidth="1"/>
    <col min="16" max="21" width="10.28125" style="10" customWidth="1"/>
    <col min="22" max="22" width="8.421875" style="10" customWidth="1"/>
    <col min="23" max="24" width="10.28125" style="10" customWidth="1"/>
    <col min="25" max="25" width="12.7109375" style="10" customWidth="1"/>
    <col min="26" max="26" width="4.7109375" style="10" customWidth="1"/>
    <col min="27" max="27" width="11.7109375" style="10" customWidth="1"/>
    <col min="28" max="30" width="10.28125" style="10" customWidth="1"/>
    <col min="31" max="41" width="10.28125" style="5" customWidth="1"/>
    <col min="42" max="16384" width="10.28125" style="10" customWidth="1"/>
  </cols>
  <sheetData>
    <row r="1" spans="1:41" ht="14.25" thickBot="1" thickTop="1">
      <c r="A1" s="686">
        <v>1</v>
      </c>
      <c r="B1" s="683" t="s">
        <v>259</v>
      </c>
      <c r="C1" s="684"/>
      <c r="D1" s="684"/>
      <c r="E1" s="684"/>
      <c r="F1" s="684"/>
      <c r="G1" s="684"/>
      <c r="H1" s="684"/>
      <c r="I1" s="685"/>
      <c r="J1" s="1" t="s">
        <v>14</v>
      </c>
      <c r="K1" s="30"/>
      <c r="L1" s="31"/>
      <c r="M1" s="32" t="s">
        <v>95</v>
      </c>
      <c r="N1" s="690">
        <f>ROUND(C11,0)</f>
        <v>34</v>
      </c>
      <c r="O1" s="32" t="s">
        <v>96</v>
      </c>
      <c r="P1" s="520">
        <v>3</v>
      </c>
      <c r="R1" s="2" t="s">
        <v>15</v>
      </c>
      <c r="S1" s="3"/>
      <c r="T1" s="3" t="s">
        <v>16</v>
      </c>
      <c r="U1" s="691">
        <f>D9</f>
        <v>0.06</v>
      </c>
      <c r="V1" s="3"/>
      <c r="W1" s="3" t="s">
        <v>17</v>
      </c>
      <c r="X1" s="691">
        <v>0.0025</v>
      </c>
      <c r="Y1" s="3"/>
      <c r="Z1" s="3"/>
      <c r="AA1" s="3"/>
      <c r="AB1" s="3"/>
      <c r="AC1" s="3"/>
      <c r="AD1" s="3"/>
      <c r="AE1" s="34"/>
      <c r="AF1" s="34" t="s">
        <v>3</v>
      </c>
      <c r="AG1" s="34"/>
      <c r="AH1" s="34"/>
      <c r="AI1" s="34"/>
      <c r="AJ1" s="34" t="s">
        <v>18</v>
      </c>
      <c r="AK1" s="34"/>
      <c r="AL1" s="34"/>
      <c r="AM1" s="34"/>
      <c r="AN1" s="34" t="s">
        <v>19</v>
      </c>
      <c r="AO1" s="34" t="s">
        <v>20</v>
      </c>
    </row>
    <row r="2" spans="2:47" ht="13.5" thickTop="1">
      <c r="B2" s="182"/>
      <c r="C2" s="183" t="s">
        <v>0</v>
      </c>
      <c r="D2" s="66"/>
      <c r="E2" s="183" t="s">
        <v>1</v>
      </c>
      <c r="F2" s="66"/>
      <c r="G2" s="66"/>
      <c r="H2" s="183" t="s">
        <v>2</v>
      </c>
      <c r="I2" s="67"/>
      <c r="J2" s="5" t="s">
        <v>3</v>
      </c>
      <c r="K2" s="33" t="s">
        <v>94</v>
      </c>
      <c r="M2" s="520">
        <v>0</v>
      </c>
      <c r="N2" s="5" t="s">
        <v>87</v>
      </c>
      <c r="O2" s="5"/>
      <c r="P2" s="5"/>
      <c r="R2" s="2" t="s">
        <v>21</v>
      </c>
      <c r="S2" s="6"/>
      <c r="T2" s="6" t="s">
        <v>22</v>
      </c>
      <c r="U2" s="6"/>
      <c r="V2" s="3" t="s">
        <v>3</v>
      </c>
      <c r="W2" s="4" t="s">
        <v>3</v>
      </c>
      <c r="X2" s="4" t="s">
        <v>23</v>
      </c>
      <c r="Y2" s="4"/>
      <c r="Z2" s="3"/>
      <c r="AA2" s="7"/>
      <c r="AB2" s="7" t="s">
        <v>24</v>
      </c>
      <c r="AC2" s="7"/>
      <c r="AD2" s="3"/>
      <c r="AE2" s="34"/>
      <c r="AF2" s="34" t="s">
        <v>25</v>
      </c>
      <c r="AG2" s="34" t="s">
        <v>26</v>
      </c>
      <c r="AH2" s="34" t="s">
        <v>98</v>
      </c>
      <c r="AI2" s="34" t="s">
        <v>20</v>
      </c>
      <c r="AJ2" s="34" t="s">
        <v>27</v>
      </c>
      <c r="AK2" s="34" t="s">
        <v>28</v>
      </c>
      <c r="AL2" s="34" t="s">
        <v>28</v>
      </c>
      <c r="AM2" s="34" t="s">
        <v>29</v>
      </c>
      <c r="AN2" s="34" t="s">
        <v>30</v>
      </c>
      <c r="AO2" s="34" t="s">
        <v>30</v>
      </c>
      <c r="AP2" s="21" t="s">
        <v>3</v>
      </c>
      <c r="AQ2" s="21" t="s">
        <v>3</v>
      </c>
      <c r="AR2" s="21" t="s">
        <v>3</v>
      </c>
      <c r="AS2" s="21" t="s">
        <v>3</v>
      </c>
      <c r="AT2" s="21" t="s">
        <v>3</v>
      </c>
      <c r="AU2" s="21" t="s">
        <v>3</v>
      </c>
    </row>
    <row r="3" spans="2:47" ht="12.75">
      <c r="B3" s="184" t="s">
        <v>226</v>
      </c>
      <c r="C3" s="221">
        <v>0.3</v>
      </c>
      <c r="D3" s="68" t="s">
        <v>3</v>
      </c>
      <c r="E3" s="156">
        <v>6</v>
      </c>
      <c r="F3" s="68" t="s">
        <v>4</v>
      </c>
      <c r="G3" s="68"/>
      <c r="H3" s="220">
        <v>0</v>
      </c>
      <c r="I3" s="706" t="s">
        <v>258</v>
      </c>
      <c r="J3" s="5" t="s">
        <v>31</v>
      </c>
      <c r="K3" s="35" t="s">
        <v>9</v>
      </c>
      <c r="L3" s="5" t="s">
        <v>32</v>
      </c>
      <c r="M3" s="36" t="s">
        <v>33</v>
      </c>
      <c r="N3" s="5" t="s">
        <v>28</v>
      </c>
      <c r="O3" s="5"/>
      <c r="P3" s="5" t="s">
        <v>34</v>
      </c>
      <c r="R3" s="3" t="s">
        <v>35</v>
      </c>
      <c r="S3" s="6" t="s">
        <v>36</v>
      </c>
      <c r="T3" s="6" t="s">
        <v>37</v>
      </c>
      <c r="U3" s="6" t="s">
        <v>38</v>
      </c>
      <c r="V3" s="3"/>
      <c r="W3" s="4" t="s">
        <v>36</v>
      </c>
      <c r="X3" s="4" t="s">
        <v>37</v>
      </c>
      <c r="Y3" s="4" t="s">
        <v>38</v>
      </c>
      <c r="Z3" s="3"/>
      <c r="AA3" s="7" t="s">
        <v>36</v>
      </c>
      <c r="AB3" s="7" t="s">
        <v>37</v>
      </c>
      <c r="AC3" s="7" t="s">
        <v>38</v>
      </c>
      <c r="AD3" s="3"/>
      <c r="AE3" s="34" t="s">
        <v>39</v>
      </c>
      <c r="AF3" s="34"/>
      <c r="AG3" s="34" t="s">
        <v>40</v>
      </c>
      <c r="AH3" s="34" t="s">
        <v>40</v>
      </c>
      <c r="AI3" s="34" t="s">
        <v>40</v>
      </c>
      <c r="AJ3" s="34" t="s">
        <v>41</v>
      </c>
      <c r="AK3" s="34" t="s">
        <v>42</v>
      </c>
      <c r="AL3" s="34" t="s">
        <v>43</v>
      </c>
      <c r="AM3" s="34" t="s">
        <v>28</v>
      </c>
      <c r="AN3" s="34" t="s">
        <v>44</v>
      </c>
      <c r="AO3" s="34" t="s">
        <v>44</v>
      </c>
      <c r="AP3" s="22"/>
      <c r="AQ3" s="692" t="s">
        <v>45</v>
      </c>
      <c r="AR3" s="692" t="s">
        <v>46</v>
      </c>
      <c r="AS3" s="692"/>
      <c r="AT3" s="692"/>
      <c r="AU3" s="22"/>
    </row>
    <row r="4" spans="2:47" ht="12.75">
      <c r="B4" s="185"/>
      <c r="C4" s="68"/>
      <c r="D4" s="68"/>
      <c r="E4" s="68" t="s">
        <v>3</v>
      </c>
      <c r="F4" s="68"/>
      <c r="G4" s="68"/>
      <c r="H4" s="220">
        <v>0</v>
      </c>
      <c r="I4" s="706" t="s">
        <v>199</v>
      </c>
      <c r="J4" s="26">
        <f>C24</f>
        <v>26.618935185185183</v>
      </c>
      <c r="K4" s="57">
        <f>(C3/(SQRT(J4)))</f>
        <v>0.0581468128792342</v>
      </c>
      <c r="L4" s="26">
        <f>C25</f>
        <v>159.7136111111111</v>
      </c>
      <c r="M4" s="57">
        <f>(SQRT((D9*D9)-(K4*K4)))</f>
        <v>0.014796896701245293</v>
      </c>
      <c r="N4" s="26">
        <f>(J4*E$3)+(L4*E$5)+H$6</f>
        <v>479.1408333333333</v>
      </c>
      <c r="O4" s="26">
        <f aca="true" t="shared" si="0" ref="O4:O14">MAX(0,+O5-P5)</f>
        <v>1</v>
      </c>
      <c r="P4" s="26">
        <f>P1</f>
        <v>3</v>
      </c>
      <c r="Q4" s="10" t="s">
        <v>97</v>
      </c>
      <c r="R4" s="52">
        <f aca="true" t="shared" si="1" ref="R4:R14">R5-AE5</f>
        <v>0.03249999999999997</v>
      </c>
      <c r="S4" s="3">
        <f aca="true" t="shared" si="2" ref="S4:S27">(T4*AL4)+(U4*AK4)+AM4</f>
        <v>945.4297763014986</v>
      </c>
      <c r="T4" s="3">
        <f aca="true" t="shared" si="3" ref="T4:T27">(AJ4/(AF4*AG4))</f>
        <v>125.10016596886555</v>
      </c>
      <c r="U4" s="3">
        <f aca="true" t="shared" si="4" ref="U4:U27">(AG4*T4)</f>
        <v>115.8715740606279</v>
      </c>
      <c r="V4" s="3"/>
      <c r="W4" s="3" t="e">
        <f aca="true" t="shared" si="5" ref="W4:W27">(X4*AL4)+(Y4*AK4)+AM4</f>
        <v>#DIV/0!</v>
      </c>
      <c r="X4" s="3" t="e">
        <f aca="true" t="shared" si="6" ref="X4:X27">(AN4/(AF4*AH4))</f>
        <v>#DIV/0!</v>
      </c>
      <c r="Y4" s="3" t="e">
        <f aca="true" t="shared" si="7" ref="Y4:Y27">(X4*AH4)</f>
        <v>#DIV/0!</v>
      </c>
      <c r="Z4" s="3"/>
      <c r="AA4" s="3">
        <f aca="true" t="shared" si="8" ref="AA4:AA27">(AB4*AL4)+(AC4*AK4)+AM4</f>
        <v>1633.0480473372809</v>
      </c>
      <c r="AB4" s="3">
        <f aca="true" t="shared" si="9" ref="AB4:AB27">(AO4/(AF4*AI4))</f>
        <v>544.3493491124269</v>
      </c>
      <c r="AC4" s="3">
        <f aca="true" t="shared" si="10" ref="AC4:AC27">(AB4*AI4)</f>
        <v>90.72489151873782</v>
      </c>
      <c r="AD4" s="3"/>
      <c r="AE4" s="34">
        <f>X1</f>
        <v>0.0025</v>
      </c>
      <c r="AF4" s="34">
        <f aca="true" t="shared" si="11" ref="AF4:AF27">(R4*R4)</f>
        <v>0.0010562499999999982</v>
      </c>
      <c r="AG4" s="34">
        <f>E7</f>
        <v>0.9262303783790788</v>
      </c>
      <c r="AH4" s="34" t="e">
        <f>(C15/C16)</f>
        <v>#DIV/0!</v>
      </c>
      <c r="AI4" s="34">
        <f>(1/I23)</f>
        <v>0.16666666666666666</v>
      </c>
      <c r="AJ4" s="34">
        <f>((C3*C3)+(C5*C5*E7))</f>
        <v>0.12238935010153801</v>
      </c>
      <c r="AK4" s="34">
        <f>E3</f>
        <v>6</v>
      </c>
      <c r="AL4" s="34">
        <f>E5</f>
        <v>2</v>
      </c>
      <c r="AM4" s="34">
        <f>H3+H4+H5</f>
        <v>0</v>
      </c>
      <c r="AN4" s="34" t="e">
        <f>((C3*C3)+(C5*C5*AH4))</f>
        <v>#DIV/0!</v>
      </c>
      <c r="AO4" s="34">
        <f>((C3*C3)+(C5*C5*AI4))</f>
        <v>0.09582816666666666</v>
      </c>
      <c r="AP4" s="43" t="s">
        <v>3</v>
      </c>
      <c r="AQ4" s="43" t="s">
        <v>47</v>
      </c>
      <c r="AR4" s="43" t="s">
        <v>48</v>
      </c>
      <c r="AS4" s="43" t="s">
        <v>49</v>
      </c>
      <c r="AT4" s="43" t="s">
        <v>50</v>
      </c>
      <c r="AU4" s="43" t="s">
        <v>51</v>
      </c>
    </row>
    <row r="5" spans="2:47" ht="13.5" thickBot="1">
      <c r="B5" s="186" t="s">
        <v>225</v>
      </c>
      <c r="C5" s="221">
        <v>0.187</v>
      </c>
      <c r="D5" s="68" t="s">
        <v>3</v>
      </c>
      <c r="E5" s="156">
        <v>2</v>
      </c>
      <c r="F5" s="68" t="s">
        <v>5</v>
      </c>
      <c r="G5" s="68"/>
      <c r="H5" s="727">
        <v>0</v>
      </c>
      <c r="I5" s="706" t="s">
        <v>200</v>
      </c>
      <c r="J5" s="26">
        <f>C15</f>
        <v>0</v>
      </c>
      <c r="K5" s="57" t="e">
        <f>(C3/(SQRT(J5)))</f>
        <v>#DIV/0!</v>
      </c>
      <c r="L5" s="26">
        <f>C16</f>
        <v>0</v>
      </c>
      <c r="M5" s="57" t="e">
        <f>(SQRT((D9*D9)-(K5*K5)))</f>
        <v>#DIV/0!</v>
      </c>
      <c r="N5" s="26">
        <f>(J5*E$3)+(L5*E$5)+H$6</f>
        <v>0</v>
      </c>
      <c r="O5" s="26">
        <f t="shared" si="0"/>
        <v>4</v>
      </c>
      <c r="P5" s="26">
        <f aca="true" t="shared" si="12" ref="P5:P24">P4</f>
        <v>3</v>
      </c>
      <c r="Q5" s="10" t="s">
        <v>98</v>
      </c>
      <c r="R5" s="52">
        <f t="shared" si="1"/>
        <v>0.034999999999999976</v>
      </c>
      <c r="S5" s="3">
        <f t="shared" si="2"/>
        <v>815.1920009946591</v>
      </c>
      <c r="T5" s="3">
        <f t="shared" si="3"/>
        <v>107.86697984050137</v>
      </c>
      <c r="U5" s="3">
        <f t="shared" si="4"/>
        <v>99.90967355227606</v>
      </c>
      <c r="V5" s="3"/>
      <c r="W5" s="3" t="e">
        <f t="shared" si="5"/>
        <v>#DIV/0!</v>
      </c>
      <c r="X5" s="3" t="e">
        <f t="shared" si="6"/>
        <v>#DIV/0!</v>
      </c>
      <c r="Y5" s="3" t="e">
        <f t="shared" si="7"/>
        <v>#DIV/0!</v>
      </c>
      <c r="Z5" s="3"/>
      <c r="AA5" s="3">
        <f t="shared" si="8"/>
        <v>1408.0873469387775</v>
      </c>
      <c r="AB5" s="3">
        <f t="shared" si="9"/>
        <v>469.3624489795925</v>
      </c>
      <c r="AC5" s="3">
        <f t="shared" si="10"/>
        <v>78.22707482993208</v>
      </c>
      <c r="AD5" s="3"/>
      <c r="AE5" s="34">
        <f aca="true" t="shared" si="13" ref="AE5:AE27">AE4</f>
        <v>0.0025</v>
      </c>
      <c r="AF5" s="34">
        <f t="shared" si="11"/>
        <v>0.0012249999999999982</v>
      </c>
      <c r="AG5" s="34">
        <f aca="true" t="shared" si="14" ref="AG5:AO27">AG4</f>
        <v>0.9262303783790788</v>
      </c>
      <c r="AH5" s="34" t="e">
        <f t="shared" si="14"/>
        <v>#DIV/0!</v>
      </c>
      <c r="AI5" s="34">
        <f t="shared" si="14"/>
        <v>0.16666666666666666</v>
      </c>
      <c r="AJ5" s="34">
        <f t="shared" si="14"/>
        <v>0.12238935010153801</v>
      </c>
      <c r="AK5" s="34">
        <f t="shared" si="14"/>
        <v>6</v>
      </c>
      <c r="AL5" s="34">
        <f t="shared" si="14"/>
        <v>2</v>
      </c>
      <c r="AM5" s="34">
        <f t="shared" si="14"/>
        <v>0</v>
      </c>
      <c r="AN5" s="34" t="e">
        <f t="shared" si="14"/>
        <v>#DIV/0!</v>
      </c>
      <c r="AO5" s="34">
        <f t="shared" si="14"/>
        <v>0.09582816666666666</v>
      </c>
      <c r="AP5" s="47" t="s">
        <v>129</v>
      </c>
      <c r="AQ5" s="44">
        <v>0.0627</v>
      </c>
      <c r="AR5" s="44">
        <v>0.1257</v>
      </c>
      <c r="AS5" s="44">
        <v>0.6745</v>
      </c>
      <c r="AT5" s="44">
        <v>1.6449</v>
      </c>
      <c r="AU5" s="45">
        <v>1.96</v>
      </c>
    </row>
    <row r="6" spans="2:47" ht="13.5" thickTop="1">
      <c r="B6" s="185" t="s">
        <v>3</v>
      </c>
      <c r="C6" s="68" t="s">
        <v>3</v>
      </c>
      <c r="D6" s="68" t="s">
        <v>3</v>
      </c>
      <c r="E6" s="68" t="s">
        <v>3</v>
      </c>
      <c r="F6" s="187" t="s">
        <v>3</v>
      </c>
      <c r="G6" s="68" t="s">
        <v>3</v>
      </c>
      <c r="H6" s="188">
        <f>SUM(H3:H5)</f>
        <v>0</v>
      </c>
      <c r="I6" s="189" t="s">
        <v>93</v>
      </c>
      <c r="J6" s="8">
        <f aca="true" t="shared" si="15" ref="J6:J24">O6</f>
        <v>7</v>
      </c>
      <c r="K6" s="58">
        <f aca="true" t="shared" si="16" ref="K6:K11">IF(J6&gt;0,(C$3/(SQRT(J6))),"")</f>
        <v>0.11338934190276816</v>
      </c>
      <c r="L6" s="8">
        <f aca="true" t="shared" si="17" ref="L6:L11">IF(K6&lt;D$9,(C$5/M6)*(C$5/M6),"")</f>
      </c>
      <c r="M6" s="59">
        <f aca="true" t="shared" si="18" ref="M6:M11">IF(K6&lt;D$9,(SQRT((D$9*D$9)-(K6*K6))),"")</f>
      </c>
      <c r="N6" s="24">
        <f aca="true" t="shared" si="19" ref="N6:N11">IF(K6&lt;D$9,(J6*E$3)+(L6*E$5)+H$6,"")</f>
      </c>
      <c r="O6" s="24">
        <f t="shared" si="0"/>
        <v>7</v>
      </c>
      <c r="P6" s="8">
        <f t="shared" si="12"/>
        <v>3</v>
      </c>
      <c r="R6" s="52">
        <f t="shared" si="1"/>
        <v>0.03749999999999998</v>
      </c>
      <c r="S6" s="3">
        <f t="shared" si="2"/>
        <v>710.1228097553474</v>
      </c>
      <c r="T6" s="3">
        <f t="shared" si="3"/>
        <v>93.96412466105895</v>
      </c>
      <c r="U6" s="3">
        <f t="shared" si="4"/>
        <v>87.03242673887156</v>
      </c>
      <c r="V6" s="3"/>
      <c r="W6" s="3" t="e">
        <f t="shared" si="5"/>
        <v>#DIV/0!</v>
      </c>
      <c r="X6" s="3" t="e">
        <f t="shared" si="6"/>
        <v>#DIV/0!</v>
      </c>
      <c r="Y6" s="3" t="e">
        <f t="shared" si="7"/>
        <v>#DIV/0!</v>
      </c>
      <c r="Z6" s="3"/>
      <c r="AA6" s="3">
        <f t="shared" si="8"/>
        <v>1226.6005333333346</v>
      </c>
      <c r="AB6" s="3">
        <f t="shared" si="9"/>
        <v>408.8668444444449</v>
      </c>
      <c r="AC6" s="3">
        <f t="shared" si="10"/>
        <v>68.14447407407414</v>
      </c>
      <c r="AD6" s="3"/>
      <c r="AE6" s="34">
        <f t="shared" si="13"/>
        <v>0.0025</v>
      </c>
      <c r="AF6" s="34">
        <f t="shared" si="11"/>
        <v>0.0014062499999999984</v>
      </c>
      <c r="AG6" s="34">
        <f t="shared" si="14"/>
        <v>0.9262303783790788</v>
      </c>
      <c r="AH6" s="34" t="e">
        <f t="shared" si="14"/>
        <v>#DIV/0!</v>
      </c>
      <c r="AI6" s="34">
        <f t="shared" si="14"/>
        <v>0.16666666666666666</v>
      </c>
      <c r="AJ6" s="34">
        <f t="shared" si="14"/>
        <v>0.12238935010153801</v>
      </c>
      <c r="AK6" s="34">
        <f t="shared" si="14"/>
        <v>6</v>
      </c>
      <c r="AL6" s="34">
        <f t="shared" si="14"/>
        <v>2</v>
      </c>
      <c r="AM6" s="34">
        <f t="shared" si="14"/>
        <v>0</v>
      </c>
      <c r="AN6" s="34" t="e">
        <f t="shared" si="14"/>
        <v>#DIV/0!</v>
      </c>
      <c r="AO6" s="34">
        <f t="shared" si="14"/>
        <v>0.09582816666666666</v>
      </c>
      <c r="AP6" s="46" t="s">
        <v>128</v>
      </c>
      <c r="AQ6" s="23">
        <v>0.0787</v>
      </c>
      <c r="AR6" s="23">
        <v>0.1584</v>
      </c>
      <c r="AS6" s="23">
        <v>1</v>
      </c>
      <c r="AT6" s="23">
        <v>6.3138</v>
      </c>
      <c r="AU6" s="23">
        <v>12.7062</v>
      </c>
    </row>
    <row r="7" spans="2:47" ht="12.75">
      <c r="B7" s="70"/>
      <c r="C7" s="68"/>
      <c r="D7" s="71" t="s">
        <v>106</v>
      </c>
      <c r="E7" s="42">
        <f>((C3*SQRT(E5))/(C5*SQRT(E3)))</f>
        <v>0.9262303783790788</v>
      </c>
      <c r="F7" s="68" t="s">
        <v>227</v>
      </c>
      <c r="G7" s="68"/>
      <c r="H7" s="68"/>
      <c r="I7" s="69" t="s">
        <v>3</v>
      </c>
      <c r="J7" s="8">
        <f t="shared" si="15"/>
        <v>10</v>
      </c>
      <c r="K7" s="58">
        <f t="shared" si="16"/>
        <v>0.09486832980505137</v>
      </c>
      <c r="L7" s="8">
        <f t="shared" si="17"/>
      </c>
      <c r="M7" s="59">
        <f t="shared" si="18"/>
      </c>
      <c r="N7" s="24">
        <f t="shared" si="19"/>
      </c>
      <c r="O7" s="8">
        <f t="shared" si="0"/>
        <v>10</v>
      </c>
      <c r="P7" s="8">
        <f t="shared" si="12"/>
        <v>3</v>
      </c>
      <c r="R7" s="52">
        <f t="shared" si="1"/>
        <v>0.03999999999999998</v>
      </c>
      <c r="S7" s="3">
        <f t="shared" si="2"/>
        <v>624.1313757615358</v>
      </c>
      <c r="T7" s="3">
        <f t="shared" si="3"/>
        <v>82.58565644038384</v>
      </c>
      <c r="U7" s="3">
        <f t="shared" si="4"/>
        <v>76.49334381346134</v>
      </c>
      <c r="V7" s="3"/>
      <c r="W7" s="3" t="e">
        <f t="shared" si="5"/>
        <v>#DIV/0!</v>
      </c>
      <c r="X7" s="3" t="e">
        <f t="shared" si="6"/>
        <v>#DIV/0!</v>
      </c>
      <c r="Y7" s="3" t="e">
        <f t="shared" si="7"/>
        <v>#DIV/0!</v>
      </c>
      <c r="Z7" s="3"/>
      <c r="AA7" s="3">
        <f t="shared" si="8"/>
        <v>1078.0668750000011</v>
      </c>
      <c r="AB7" s="3">
        <f t="shared" si="9"/>
        <v>359.3556250000004</v>
      </c>
      <c r="AC7" s="3">
        <f t="shared" si="10"/>
        <v>59.89260416666673</v>
      </c>
      <c r="AD7" s="3"/>
      <c r="AE7" s="34">
        <f t="shared" si="13"/>
        <v>0.0025</v>
      </c>
      <c r="AF7" s="34">
        <f t="shared" si="11"/>
        <v>0.0015999999999999983</v>
      </c>
      <c r="AG7" s="34">
        <f t="shared" si="14"/>
        <v>0.9262303783790788</v>
      </c>
      <c r="AH7" s="34" t="e">
        <f t="shared" si="14"/>
        <v>#DIV/0!</v>
      </c>
      <c r="AI7" s="34">
        <f t="shared" si="14"/>
        <v>0.16666666666666666</v>
      </c>
      <c r="AJ7" s="34">
        <f t="shared" si="14"/>
        <v>0.12238935010153801</v>
      </c>
      <c r="AK7" s="34">
        <f t="shared" si="14"/>
        <v>6</v>
      </c>
      <c r="AL7" s="34">
        <f t="shared" si="14"/>
        <v>2</v>
      </c>
      <c r="AM7" s="34">
        <f t="shared" si="14"/>
        <v>0</v>
      </c>
      <c r="AN7" s="34" t="e">
        <f t="shared" si="14"/>
        <v>#DIV/0!</v>
      </c>
      <c r="AO7" s="34">
        <f t="shared" si="14"/>
        <v>0.09582816666666666</v>
      </c>
      <c r="AP7" s="46" t="s">
        <v>130</v>
      </c>
      <c r="AQ7" s="23">
        <v>0.0708</v>
      </c>
      <c r="AR7" s="23">
        <v>0.1421</v>
      </c>
      <c r="AS7" s="23">
        <v>0.8165</v>
      </c>
      <c r="AT7" s="23">
        <v>2.92</v>
      </c>
      <c r="AU7" s="23">
        <v>4.3027</v>
      </c>
    </row>
    <row r="8" spans="2:47" ht="13.5" thickBot="1">
      <c r="B8" s="70"/>
      <c r="C8" s="68"/>
      <c r="D8" s="68" t="s">
        <v>6</v>
      </c>
      <c r="E8" s="190">
        <f>(1/E7)</f>
        <v>1.0796450033846001</v>
      </c>
      <c r="F8" s="68" t="s">
        <v>228</v>
      </c>
      <c r="G8" s="191"/>
      <c r="H8" s="71" t="s">
        <v>113</v>
      </c>
      <c r="I8" s="192">
        <f>(I15*C11/C12)</f>
        <v>5.5573822702744735</v>
      </c>
      <c r="J8" s="8">
        <f t="shared" si="15"/>
        <v>13</v>
      </c>
      <c r="K8" s="58">
        <f t="shared" si="16"/>
        <v>0.08320502943378437</v>
      </c>
      <c r="L8" s="8">
        <f t="shared" si="17"/>
      </c>
      <c r="M8" s="59">
        <f t="shared" si="18"/>
      </c>
      <c r="N8" s="24">
        <f t="shared" si="19"/>
      </c>
      <c r="O8" s="8">
        <f t="shared" si="0"/>
        <v>13</v>
      </c>
      <c r="P8" s="8">
        <f t="shared" si="12"/>
        <v>3</v>
      </c>
      <c r="R8" s="52">
        <f t="shared" si="1"/>
        <v>0.04249999999999998</v>
      </c>
      <c r="S8" s="3">
        <f t="shared" si="2"/>
        <v>552.863779221291</v>
      </c>
      <c r="T8" s="3">
        <f t="shared" si="3"/>
        <v>73.15546037625695</v>
      </c>
      <c r="U8" s="3">
        <f t="shared" si="4"/>
        <v>67.75880974479618</v>
      </c>
      <c r="V8" s="3"/>
      <c r="W8" s="3" t="e">
        <f t="shared" si="5"/>
        <v>#DIV/0!</v>
      </c>
      <c r="X8" s="3" t="e">
        <f t="shared" si="6"/>
        <v>#DIV/0!</v>
      </c>
      <c r="Y8" s="3" t="e">
        <f t="shared" si="7"/>
        <v>#DIV/0!</v>
      </c>
      <c r="Z8" s="3"/>
      <c r="AA8" s="3">
        <f t="shared" si="8"/>
        <v>954.9658131487898</v>
      </c>
      <c r="AB8" s="3">
        <f t="shared" si="9"/>
        <v>318.3219377162633</v>
      </c>
      <c r="AC8" s="3">
        <f t="shared" si="10"/>
        <v>53.053656286043875</v>
      </c>
      <c r="AD8" s="3"/>
      <c r="AE8" s="34">
        <f t="shared" si="13"/>
        <v>0.0025</v>
      </c>
      <c r="AF8" s="34">
        <f t="shared" si="11"/>
        <v>0.0018062499999999984</v>
      </c>
      <c r="AG8" s="34">
        <f t="shared" si="14"/>
        <v>0.9262303783790788</v>
      </c>
      <c r="AH8" s="34" t="e">
        <f t="shared" si="14"/>
        <v>#DIV/0!</v>
      </c>
      <c r="AI8" s="34">
        <f t="shared" si="14"/>
        <v>0.16666666666666666</v>
      </c>
      <c r="AJ8" s="34">
        <f t="shared" si="14"/>
        <v>0.12238935010153801</v>
      </c>
      <c r="AK8" s="34">
        <f t="shared" si="14"/>
        <v>6</v>
      </c>
      <c r="AL8" s="34">
        <f t="shared" si="14"/>
        <v>2</v>
      </c>
      <c r="AM8" s="34">
        <f t="shared" si="14"/>
        <v>0</v>
      </c>
      <c r="AN8" s="34" t="e">
        <f t="shared" si="14"/>
        <v>#DIV/0!</v>
      </c>
      <c r="AO8" s="34">
        <f t="shared" si="14"/>
        <v>0.09582816666666666</v>
      </c>
      <c r="AP8" s="21">
        <v>4</v>
      </c>
      <c r="AQ8" s="23">
        <v>0.0681</v>
      </c>
      <c r="AR8" s="23">
        <v>0.1366</v>
      </c>
      <c r="AS8" s="23">
        <v>0.7649</v>
      </c>
      <c r="AT8" s="23">
        <v>2.3534</v>
      </c>
      <c r="AU8" s="23">
        <v>3.1824</v>
      </c>
    </row>
    <row r="9" spans="2:47" ht="13.5" thickBot="1">
      <c r="B9" s="186"/>
      <c r="C9" s="611" t="s">
        <v>7</v>
      </c>
      <c r="D9" s="637">
        <v>0.06</v>
      </c>
      <c r="E9" s="68" t="s">
        <v>3</v>
      </c>
      <c r="F9" s="68"/>
      <c r="G9" s="68" t="s">
        <v>3</v>
      </c>
      <c r="H9" s="704" t="s">
        <v>193</v>
      </c>
      <c r="I9" s="705" t="s">
        <v>253</v>
      </c>
      <c r="J9" s="8">
        <f t="shared" si="15"/>
        <v>16</v>
      </c>
      <c r="K9" s="58">
        <f t="shared" si="16"/>
        <v>0.075</v>
      </c>
      <c r="L9" s="8">
        <f t="shared" si="17"/>
      </c>
      <c r="M9" s="59">
        <f t="shared" si="18"/>
      </c>
      <c r="N9" s="24">
        <f t="shared" si="19"/>
      </c>
      <c r="O9" s="8">
        <f t="shared" si="0"/>
        <v>16</v>
      </c>
      <c r="P9" s="8">
        <f t="shared" si="12"/>
        <v>3</v>
      </c>
      <c r="R9" s="52">
        <f t="shared" si="1"/>
        <v>0.044999999999999984</v>
      </c>
      <c r="S9" s="3">
        <f t="shared" si="2"/>
        <v>493.14084010787997</v>
      </c>
      <c r="T9" s="3">
        <f t="shared" si="3"/>
        <v>65.25286434795758</v>
      </c>
      <c r="U9" s="3">
        <f t="shared" si="4"/>
        <v>60.43918523532746</v>
      </c>
      <c r="V9" s="3"/>
      <c r="W9" s="3" t="e">
        <f t="shared" si="5"/>
        <v>#DIV/0!</v>
      </c>
      <c r="X9" s="3" t="e">
        <f t="shared" si="6"/>
        <v>#DIV/0!</v>
      </c>
      <c r="Y9" s="3" t="e">
        <f t="shared" si="7"/>
        <v>#DIV/0!</v>
      </c>
      <c r="Z9" s="3"/>
      <c r="AA9" s="3">
        <f t="shared" si="8"/>
        <v>851.8059259259264</v>
      </c>
      <c r="AB9" s="3">
        <f t="shared" si="9"/>
        <v>283.9353086419755</v>
      </c>
      <c r="AC9" s="3">
        <f t="shared" si="10"/>
        <v>47.32255144032925</v>
      </c>
      <c r="AD9" s="3"/>
      <c r="AE9" s="34">
        <f t="shared" si="13"/>
        <v>0.0025</v>
      </c>
      <c r="AF9" s="34">
        <f t="shared" si="11"/>
        <v>0.0020249999999999986</v>
      </c>
      <c r="AG9" s="34">
        <f t="shared" si="14"/>
        <v>0.9262303783790788</v>
      </c>
      <c r="AH9" s="34" t="e">
        <f t="shared" si="14"/>
        <v>#DIV/0!</v>
      </c>
      <c r="AI9" s="34">
        <f t="shared" si="14"/>
        <v>0.16666666666666666</v>
      </c>
      <c r="AJ9" s="34">
        <f t="shared" si="14"/>
        <v>0.12238935010153801</v>
      </c>
      <c r="AK9" s="34">
        <f t="shared" si="14"/>
        <v>6</v>
      </c>
      <c r="AL9" s="34">
        <f t="shared" si="14"/>
        <v>2</v>
      </c>
      <c r="AM9" s="34">
        <f t="shared" si="14"/>
        <v>0</v>
      </c>
      <c r="AN9" s="34" t="e">
        <f t="shared" si="14"/>
        <v>#DIV/0!</v>
      </c>
      <c r="AO9" s="34">
        <f t="shared" si="14"/>
        <v>0.09582816666666666</v>
      </c>
      <c r="AP9" s="21">
        <v>5</v>
      </c>
      <c r="AQ9" s="23">
        <v>0.0667</v>
      </c>
      <c r="AR9" s="23">
        <v>0.1338</v>
      </c>
      <c r="AS9" s="23">
        <v>0.7407</v>
      </c>
      <c r="AT9" s="23">
        <v>2.1318</v>
      </c>
      <c r="AU9" s="23">
        <v>2.7764</v>
      </c>
    </row>
    <row r="10" spans="2:47" ht="13.5" thickBot="1">
      <c r="B10" s="185" t="s">
        <v>3</v>
      </c>
      <c r="C10" s="68"/>
      <c r="D10" s="68"/>
      <c r="E10" s="68"/>
      <c r="F10" s="68"/>
      <c r="G10" s="68"/>
      <c r="H10" s="704" t="s">
        <v>194</v>
      </c>
      <c r="I10" s="705" t="s">
        <v>252</v>
      </c>
      <c r="J10" s="8">
        <f t="shared" si="15"/>
        <v>19</v>
      </c>
      <c r="K10" s="58">
        <f t="shared" si="16"/>
        <v>0.06882472016116851</v>
      </c>
      <c r="L10" s="8">
        <f t="shared" si="17"/>
      </c>
      <c r="M10" s="59">
        <f t="shared" si="18"/>
      </c>
      <c r="N10" s="24">
        <f t="shared" si="19"/>
      </c>
      <c r="O10" s="8">
        <f t="shared" si="0"/>
        <v>19</v>
      </c>
      <c r="P10" s="8">
        <f t="shared" si="12"/>
        <v>3</v>
      </c>
      <c r="R10" s="52">
        <f t="shared" si="1"/>
        <v>0.04749999999999999</v>
      </c>
      <c r="S10" s="3">
        <f t="shared" si="2"/>
        <v>442.59731909959294</v>
      </c>
      <c r="T10" s="3">
        <f t="shared" si="3"/>
        <v>58.564897641934216</v>
      </c>
      <c r="U10" s="3">
        <f t="shared" si="4"/>
        <v>54.24458730262075</v>
      </c>
      <c r="V10" s="3"/>
      <c r="W10" s="3" t="e">
        <f t="shared" si="5"/>
        <v>#DIV/0!</v>
      </c>
      <c r="X10" s="3" t="e">
        <f t="shared" si="6"/>
        <v>#DIV/0!</v>
      </c>
      <c r="Y10" s="3" t="e">
        <f t="shared" si="7"/>
        <v>#DIV/0!</v>
      </c>
      <c r="Z10" s="3"/>
      <c r="AA10" s="3">
        <f t="shared" si="8"/>
        <v>764.5017174515239</v>
      </c>
      <c r="AB10" s="3">
        <f t="shared" si="9"/>
        <v>254.83390581717464</v>
      </c>
      <c r="AC10" s="3">
        <f t="shared" si="10"/>
        <v>42.47231763619577</v>
      </c>
      <c r="AD10" s="3"/>
      <c r="AE10" s="34">
        <f t="shared" si="13"/>
        <v>0.0025</v>
      </c>
      <c r="AF10" s="34">
        <f t="shared" si="11"/>
        <v>0.0022562499999999987</v>
      </c>
      <c r="AG10" s="34">
        <f t="shared" si="14"/>
        <v>0.9262303783790788</v>
      </c>
      <c r="AH10" s="34" t="e">
        <f t="shared" si="14"/>
        <v>#DIV/0!</v>
      </c>
      <c r="AI10" s="34">
        <f t="shared" si="14"/>
        <v>0.16666666666666666</v>
      </c>
      <c r="AJ10" s="34">
        <f t="shared" si="14"/>
        <v>0.12238935010153801</v>
      </c>
      <c r="AK10" s="34">
        <f t="shared" si="14"/>
        <v>6</v>
      </c>
      <c r="AL10" s="34">
        <f t="shared" si="14"/>
        <v>2</v>
      </c>
      <c r="AM10" s="34">
        <f t="shared" si="14"/>
        <v>0</v>
      </c>
      <c r="AN10" s="34" t="e">
        <f t="shared" si="14"/>
        <v>#DIV/0!</v>
      </c>
      <c r="AO10" s="34">
        <f t="shared" si="14"/>
        <v>0.09582816666666666</v>
      </c>
      <c r="AP10" s="21">
        <v>6</v>
      </c>
      <c r="AQ10" s="23">
        <v>0.0659</v>
      </c>
      <c r="AR10" s="23">
        <v>0.1322</v>
      </c>
      <c r="AS10" s="23">
        <v>0.7267</v>
      </c>
      <c r="AT10" s="23">
        <v>2.015</v>
      </c>
      <c r="AU10" s="23">
        <v>2.5706</v>
      </c>
    </row>
    <row r="11" spans="2:47" ht="12.75">
      <c r="B11" s="193" t="s">
        <v>8</v>
      </c>
      <c r="C11" s="641">
        <f>(C12*E7)</f>
        <v>33.99704169487167</v>
      </c>
      <c r="D11" s="725" t="s">
        <v>229</v>
      </c>
      <c r="E11" s="194">
        <f>(C3/(SQRT(C11)))</f>
        <v>0.05145181397622624</v>
      </c>
      <c r="F11" s="725" t="s">
        <v>104</v>
      </c>
      <c r="G11" s="195">
        <f>(C11*E3)+(C12*E5)+H3+H4+H5</f>
        <v>277.39172256068224</v>
      </c>
      <c r="H11" s="71" t="s">
        <v>108</v>
      </c>
      <c r="I11" s="196">
        <f>(G11/C11)</f>
        <v>8.1592900067692</v>
      </c>
      <c r="J11" s="8">
        <f t="shared" si="15"/>
        <v>22</v>
      </c>
      <c r="K11" s="58">
        <f t="shared" si="16"/>
        <v>0.06396021490668312</v>
      </c>
      <c r="L11" s="8">
        <f t="shared" si="17"/>
      </c>
      <c r="M11" s="59">
        <f t="shared" si="18"/>
      </c>
      <c r="N11" s="24">
        <f t="shared" si="19"/>
      </c>
      <c r="O11" s="8">
        <f t="shared" si="0"/>
        <v>22</v>
      </c>
      <c r="P11" s="8">
        <f t="shared" si="12"/>
        <v>3</v>
      </c>
      <c r="R11" s="52">
        <f t="shared" si="1"/>
        <v>0.04999999999999999</v>
      </c>
      <c r="S11" s="3">
        <f t="shared" si="2"/>
        <v>399.4440804873826</v>
      </c>
      <c r="T11" s="3">
        <f t="shared" si="3"/>
        <v>52.854820121845634</v>
      </c>
      <c r="U11" s="3">
        <f t="shared" si="4"/>
        <v>48.95574004061523</v>
      </c>
      <c r="V11" s="3"/>
      <c r="W11" s="3" t="e">
        <f t="shared" si="5"/>
        <v>#DIV/0!</v>
      </c>
      <c r="X11" s="3" t="e">
        <f t="shared" si="6"/>
        <v>#DIV/0!</v>
      </c>
      <c r="Y11" s="3" t="e">
        <f t="shared" si="7"/>
        <v>#DIV/0!</v>
      </c>
      <c r="Z11" s="3"/>
      <c r="AA11" s="3">
        <f t="shared" si="8"/>
        <v>689.9628000000004</v>
      </c>
      <c r="AB11" s="3">
        <f t="shared" si="9"/>
        <v>229.98760000000013</v>
      </c>
      <c r="AC11" s="3">
        <f t="shared" si="10"/>
        <v>38.331266666666686</v>
      </c>
      <c r="AD11" s="3"/>
      <c r="AE11" s="34">
        <f t="shared" si="13"/>
        <v>0.0025</v>
      </c>
      <c r="AF11" s="34">
        <f t="shared" si="11"/>
        <v>0.0024999999999999988</v>
      </c>
      <c r="AG11" s="34">
        <f t="shared" si="14"/>
        <v>0.9262303783790788</v>
      </c>
      <c r="AH11" s="34" t="e">
        <f t="shared" si="14"/>
        <v>#DIV/0!</v>
      </c>
      <c r="AI11" s="34">
        <f t="shared" si="14"/>
        <v>0.16666666666666666</v>
      </c>
      <c r="AJ11" s="34">
        <f t="shared" si="14"/>
        <v>0.12238935010153801</v>
      </c>
      <c r="AK11" s="34">
        <f t="shared" si="14"/>
        <v>6</v>
      </c>
      <c r="AL11" s="34">
        <f t="shared" si="14"/>
        <v>2</v>
      </c>
      <c r="AM11" s="34">
        <f t="shared" si="14"/>
        <v>0</v>
      </c>
      <c r="AN11" s="34" t="e">
        <f t="shared" si="14"/>
        <v>#DIV/0!</v>
      </c>
      <c r="AO11" s="34">
        <f t="shared" si="14"/>
        <v>0.09582816666666666</v>
      </c>
      <c r="AP11" s="21">
        <v>7</v>
      </c>
      <c r="AQ11" s="23">
        <v>0.0654</v>
      </c>
      <c r="AR11" s="23">
        <v>0.1311</v>
      </c>
      <c r="AS11" s="23">
        <v>0.7176</v>
      </c>
      <c r="AT11" s="23">
        <v>1.9432</v>
      </c>
      <c r="AU11" s="23">
        <v>2.4469</v>
      </c>
    </row>
    <row r="12" spans="2:47" ht="13.5" thickBot="1">
      <c r="B12" s="197" t="s">
        <v>12</v>
      </c>
      <c r="C12" s="642">
        <f>((C3*C3)+(C5*C5*E7))/(D9*D9*E7)</f>
        <v>36.70473619572611</v>
      </c>
      <c r="D12" s="726" t="s">
        <v>230</v>
      </c>
      <c r="E12" s="198">
        <f>(C5/(SQRT(C12)))</f>
        <v>0.030866014296565887</v>
      </c>
      <c r="F12" s="73"/>
      <c r="G12" s="73"/>
      <c r="H12" s="199" t="s">
        <v>151</v>
      </c>
      <c r="I12" s="200">
        <f>SQRT(C11)*D9</f>
        <v>0.34984189300530893</v>
      </c>
      <c r="J12" s="8">
        <f t="shared" si="15"/>
        <v>25</v>
      </c>
      <c r="K12" s="58">
        <f aca="true" t="shared" si="20" ref="K12:K24">IF(J12&gt;0,(C$3/(SQRT(J12))),"")</f>
        <v>0.06</v>
      </c>
      <c r="L12" s="8">
        <f aca="true" t="shared" si="21" ref="L12:L24">IF(K12&lt;D$9,(C$5/M12)*(C$5/M12),"")</f>
      </c>
      <c r="M12" s="59">
        <f aca="true" t="shared" si="22" ref="M12:M24">IF(K12&lt;D$9,(SQRT((D$9*D$9)-(K12*K12))),"")</f>
      </c>
      <c r="N12" s="24">
        <f aca="true" t="shared" si="23" ref="N12:N24">IF(K12&lt;D$9,(J12*E$3)+(L12*E$5)+H$6,"")</f>
      </c>
      <c r="O12" s="8">
        <f t="shared" si="0"/>
        <v>25</v>
      </c>
      <c r="P12" s="8">
        <f t="shared" si="12"/>
        <v>3</v>
      </c>
      <c r="R12" s="52">
        <f t="shared" si="1"/>
        <v>0.05249999999999999</v>
      </c>
      <c r="S12" s="3">
        <f t="shared" si="2"/>
        <v>362.30755599762585</v>
      </c>
      <c r="T12" s="3">
        <f t="shared" si="3"/>
        <v>47.94087992911167</v>
      </c>
      <c r="U12" s="3">
        <f t="shared" si="4"/>
        <v>44.40429935656709</v>
      </c>
      <c r="V12" s="3"/>
      <c r="W12" s="3" t="e">
        <f t="shared" si="5"/>
        <v>#DIV/0!</v>
      </c>
      <c r="X12" s="3" t="e">
        <f t="shared" si="6"/>
        <v>#DIV/0!</v>
      </c>
      <c r="Y12" s="3" t="e">
        <f t="shared" si="7"/>
        <v>#DIV/0!</v>
      </c>
      <c r="Z12" s="3"/>
      <c r="AA12" s="3">
        <f t="shared" si="8"/>
        <v>625.816598639456</v>
      </c>
      <c r="AB12" s="3">
        <f t="shared" si="9"/>
        <v>208.60553287981867</v>
      </c>
      <c r="AC12" s="3">
        <f t="shared" si="10"/>
        <v>34.76758881330311</v>
      </c>
      <c r="AD12" s="3"/>
      <c r="AE12" s="34">
        <f t="shared" si="13"/>
        <v>0.0025</v>
      </c>
      <c r="AF12" s="34">
        <f t="shared" si="11"/>
        <v>0.002756249999999999</v>
      </c>
      <c r="AG12" s="34">
        <f t="shared" si="14"/>
        <v>0.9262303783790788</v>
      </c>
      <c r="AH12" s="34" t="e">
        <f t="shared" si="14"/>
        <v>#DIV/0!</v>
      </c>
      <c r="AI12" s="34">
        <f t="shared" si="14"/>
        <v>0.16666666666666666</v>
      </c>
      <c r="AJ12" s="34">
        <f t="shared" si="14"/>
        <v>0.12238935010153801</v>
      </c>
      <c r="AK12" s="34">
        <f t="shared" si="14"/>
        <v>6</v>
      </c>
      <c r="AL12" s="34">
        <f t="shared" si="14"/>
        <v>2</v>
      </c>
      <c r="AM12" s="34">
        <f t="shared" si="14"/>
        <v>0</v>
      </c>
      <c r="AN12" s="34" t="e">
        <f t="shared" si="14"/>
        <v>#DIV/0!</v>
      </c>
      <c r="AO12" s="34">
        <f t="shared" si="14"/>
        <v>0.09582816666666666</v>
      </c>
      <c r="AP12" s="21">
        <v>8</v>
      </c>
      <c r="AQ12" s="23">
        <v>0.065</v>
      </c>
      <c r="AR12" s="23">
        <v>0.1303</v>
      </c>
      <c r="AS12" s="23">
        <v>0.7111</v>
      </c>
      <c r="AT12" s="23">
        <v>1.8946</v>
      </c>
      <c r="AU12" s="23">
        <v>2.3646</v>
      </c>
    </row>
    <row r="13" spans="2:47" ht="13.5" thickBot="1">
      <c r="B13" s="267" t="s">
        <v>52</v>
      </c>
      <c r="C13" s="268" t="s">
        <v>53</v>
      </c>
      <c r="D13" s="269"/>
      <c r="E13" s="269"/>
      <c r="F13" s="269"/>
      <c r="G13" s="269"/>
      <c r="H13" s="269"/>
      <c r="I13" s="269"/>
      <c r="J13" s="8">
        <f t="shared" si="15"/>
        <v>28</v>
      </c>
      <c r="K13" s="58">
        <f t="shared" si="20"/>
        <v>0.05669467095138408</v>
      </c>
      <c r="L13" s="8">
        <f t="shared" si="21"/>
        <v>90.66037037037027</v>
      </c>
      <c r="M13" s="59">
        <f t="shared" si="22"/>
        <v>0.019639610121239326</v>
      </c>
      <c r="N13" s="24">
        <f t="shared" si="23"/>
        <v>349.3207407407406</v>
      </c>
      <c r="O13" s="8">
        <f t="shared" si="0"/>
        <v>28</v>
      </c>
      <c r="P13" s="8">
        <f t="shared" si="12"/>
        <v>3</v>
      </c>
      <c r="R13" s="52">
        <f t="shared" si="1"/>
        <v>0.05499999999999999</v>
      </c>
      <c r="S13" s="3">
        <f t="shared" si="2"/>
        <v>330.11907478296075</v>
      </c>
      <c r="T13" s="3">
        <f t="shared" si="3"/>
        <v>43.68166952218646</v>
      </c>
      <c r="U13" s="3">
        <f t="shared" si="4"/>
        <v>40.45928928976464</v>
      </c>
      <c r="V13" s="3"/>
      <c r="W13" s="3" t="e">
        <f t="shared" si="5"/>
        <v>#DIV/0!</v>
      </c>
      <c r="X13" s="3" t="e">
        <f t="shared" si="6"/>
        <v>#DIV/0!</v>
      </c>
      <c r="Y13" s="3" t="e">
        <f t="shared" si="7"/>
        <v>#DIV/0!</v>
      </c>
      <c r="Z13" s="3"/>
      <c r="AA13" s="3">
        <f t="shared" si="8"/>
        <v>570.2171900826447</v>
      </c>
      <c r="AB13" s="3">
        <f t="shared" si="9"/>
        <v>190.07239669421492</v>
      </c>
      <c r="AC13" s="3">
        <f t="shared" si="10"/>
        <v>31.678732782369153</v>
      </c>
      <c r="AD13" s="3"/>
      <c r="AE13" s="34">
        <f t="shared" si="13"/>
        <v>0.0025</v>
      </c>
      <c r="AF13" s="34">
        <f t="shared" si="11"/>
        <v>0.0030249999999999995</v>
      </c>
      <c r="AG13" s="34">
        <f t="shared" si="14"/>
        <v>0.9262303783790788</v>
      </c>
      <c r="AH13" s="34" t="e">
        <f t="shared" si="14"/>
        <v>#DIV/0!</v>
      </c>
      <c r="AI13" s="34">
        <f t="shared" si="14"/>
        <v>0.16666666666666666</v>
      </c>
      <c r="AJ13" s="34">
        <f t="shared" si="14"/>
        <v>0.12238935010153801</v>
      </c>
      <c r="AK13" s="34">
        <f t="shared" si="14"/>
        <v>6</v>
      </c>
      <c r="AL13" s="34">
        <f t="shared" si="14"/>
        <v>2</v>
      </c>
      <c r="AM13" s="34">
        <f t="shared" si="14"/>
        <v>0</v>
      </c>
      <c r="AN13" s="34" t="e">
        <f t="shared" si="14"/>
        <v>#DIV/0!</v>
      </c>
      <c r="AO13" s="34">
        <f t="shared" si="14"/>
        <v>0.09582816666666666</v>
      </c>
      <c r="AP13" s="21">
        <v>9</v>
      </c>
      <c r="AQ13" s="23">
        <v>0.0647</v>
      </c>
      <c r="AR13" s="23">
        <v>0.1297</v>
      </c>
      <c r="AS13" s="23">
        <v>0.7064</v>
      </c>
      <c r="AT13" s="23">
        <v>1.8595</v>
      </c>
      <c r="AU13" s="23">
        <v>2.306</v>
      </c>
    </row>
    <row r="14" spans="1:47" ht="13.5" thickBot="1">
      <c r="A14" s="686">
        <v>2</v>
      </c>
      <c r="B14" s="247" t="s">
        <v>139</v>
      </c>
      <c r="C14" s="638"/>
      <c r="D14" s="249"/>
      <c r="E14" s="248"/>
      <c r="F14" s="88"/>
      <c r="G14" s="250" t="s">
        <v>112</v>
      </c>
      <c r="H14" s="88"/>
      <c r="I14" s="81" t="e">
        <f>IF(I15&gt;0,(I15*C15/C16),"")</f>
        <v>#DIV/0!</v>
      </c>
      <c r="J14" s="24">
        <f t="shared" si="15"/>
        <v>31</v>
      </c>
      <c r="K14" s="58">
        <f t="shared" si="20"/>
        <v>0.05388159060803247</v>
      </c>
      <c r="L14" s="8">
        <f t="shared" si="21"/>
        <v>50.18699074074076</v>
      </c>
      <c r="M14" s="59">
        <f t="shared" si="22"/>
        <v>0.026396480703843588</v>
      </c>
      <c r="N14" s="24">
        <f t="shared" si="23"/>
        <v>286.3739814814815</v>
      </c>
      <c r="O14" s="8">
        <f t="shared" si="0"/>
        <v>31</v>
      </c>
      <c r="P14" s="8">
        <f t="shared" si="12"/>
        <v>3</v>
      </c>
      <c r="R14" s="53">
        <f t="shared" si="1"/>
        <v>0.057499999999999996</v>
      </c>
      <c r="S14" s="3">
        <f t="shared" si="2"/>
        <v>302.03711189972216</v>
      </c>
      <c r="T14" s="3">
        <f t="shared" si="3"/>
        <v>39.965837521244325</v>
      </c>
      <c r="U14" s="3">
        <f t="shared" si="4"/>
        <v>37.01757280953892</v>
      </c>
      <c r="V14" s="3"/>
      <c r="W14" s="3" t="e">
        <f t="shared" si="5"/>
        <v>#DIV/0!</v>
      </c>
      <c r="X14" s="3" t="e">
        <f t="shared" si="6"/>
        <v>#DIV/0!</v>
      </c>
      <c r="Y14" s="3" t="e">
        <f t="shared" si="7"/>
        <v>#DIV/0!</v>
      </c>
      <c r="Z14" s="3"/>
      <c r="AA14" s="3">
        <f t="shared" si="8"/>
        <v>521.7110018903593</v>
      </c>
      <c r="AB14" s="3">
        <f t="shared" si="9"/>
        <v>173.90366729678644</v>
      </c>
      <c r="AC14" s="3">
        <f t="shared" si="10"/>
        <v>28.983944549464404</v>
      </c>
      <c r="AD14" s="3"/>
      <c r="AE14" s="34">
        <f t="shared" si="13"/>
        <v>0.0025</v>
      </c>
      <c r="AF14" s="34">
        <f t="shared" si="11"/>
        <v>0.0033062499999999993</v>
      </c>
      <c r="AG14" s="34">
        <f t="shared" si="14"/>
        <v>0.9262303783790788</v>
      </c>
      <c r="AH14" s="34" t="e">
        <f t="shared" si="14"/>
        <v>#DIV/0!</v>
      </c>
      <c r="AI14" s="34">
        <f t="shared" si="14"/>
        <v>0.16666666666666666</v>
      </c>
      <c r="AJ14" s="34">
        <f t="shared" si="14"/>
        <v>0.12238935010153801</v>
      </c>
      <c r="AK14" s="34">
        <f t="shared" si="14"/>
        <v>6</v>
      </c>
      <c r="AL14" s="34">
        <f t="shared" si="14"/>
        <v>2</v>
      </c>
      <c r="AM14" s="34">
        <f t="shared" si="14"/>
        <v>0</v>
      </c>
      <c r="AN14" s="34" t="e">
        <f t="shared" si="14"/>
        <v>#DIV/0!</v>
      </c>
      <c r="AO14" s="34">
        <f t="shared" si="14"/>
        <v>0.09582816666666666</v>
      </c>
      <c r="AP14" s="21">
        <v>10</v>
      </c>
      <c r="AQ14" s="23">
        <v>0.0645</v>
      </c>
      <c r="AR14" s="23">
        <v>0.1293</v>
      </c>
      <c r="AS14" s="23">
        <v>0.7027</v>
      </c>
      <c r="AT14" s="23">
        <v>1.8331</v>
      </c>
      <c r="AU14" s="23">
        <v>2.2622</v>
      </c>
    </row>
    <row r="15" spans="2:47" ht="12.75">
      <c r="B15" s="258" t="s">
        <v>54</v>
      </c>
      <c r="C15" s="639"/>
      <c r="D15" s="256" t="e">
        <f>C92</f>
        <v>#DIV/0!</v>
      </c>
      <c r="E15" s="253" t="s">
        <v>9</v>
      </c>
      <c r="F15" s="176" t="e">
        <f>(C3/(SQRT(C15)))</f>
        <v>#DIV/0!</v>
      </c>
      <c r="G15" s="87"/>
      <c r="H15" s="251" t="s">
        <v>55</v>
      </c>
      <c r="I15" s="219">
        <v>6</v>
      </c>
      <c r="J15" s="25">
        <f>+O15</f>
        <v>34</v>
      </c>
      <c r="K15" s="58">
        <f t="shared" si="20"/>
        <v>0.051449575542752646</v>
      </c>
      <c r="L15" s="8">
        <f t="shared" si="21"/>
        <v>36.69586419753085</v>
      </c>
      <c r="M15" s="59">
        <f t="shared" si="22"/>
        <v>0.030869745325651596</v>
      </c>
      <c r="N15" s="24">
        <f t="shared" si="23"/>
        <v>277.3917283950617</v>
      </c>
      <c r="O15" s="8">
        <f>N1+M2</f>
        <v>34</v>
      </c>
      <c r="P15" s="8">
        <f t="shared" si="12"/>
        <v>3</v>
      </c>
      <c r="Q15" s="37" t="s">
        <v>56</v>
      </c>
      <c r="R15" s="689">
        <f>U1</f>
        <v>0.06</v>
      </c>
      <c r="S15" s="3">
        <f t="shared" si="2"/>
        <v>277.39172256068224</v>
      </c>
      <c r="T15" s="3">
        <f t="shared" si="3"/>
        <v>36.70473619572611</v>
      </c>
      <c r="U15" s="3">
        <f t="shared" si="4"/>
        <v>33.99704169487167</v>
      </c>
      <c r="V15" s="3"/>
      <c r="W15" s="3" t="e">
        <f t="shared" si="5"/>
        <v>#DIV/0!</v>
      </c>
      <c r="X15" s="3" t="e">
        <f t="shared" si="6"/>
        <v>#DIV/0!</v>
      </c>
      <c r="Y15" s="3" t="e">
        <f t="shared" si="7"/>
        <v>#DIV/0!</v>
      </c>
      <c r="Z15" s="3"/>
      <c r="AA15" s="3">
        <f t="shared" si="8"/>
        <v>479.1408333333333</v>
      </c>
      <c r="AB15" s="3">
        <f t="shared" si="9"/>
        <v>159.7136111111111</v>
      </c>
      <c r="AC15" s="3">
        <f t="shared" si="10"/>
        <v>26.618935185185183</v>
      </c>
      <c r="AD15" s="3"/>
      <c r="AE15" s="34">
        <f t="shared" si="13"/>
        <v>0.0025</v>
      </c>
      <c r="AF15" s="34">
        <f t="shared" si="11"/>
        <v>0.0036</v>
      </c>
      <c r="AG15" s="34">
        <f t="shared" si="14"/>
        <v>0.9262303783790788</v>
      </c>
      <c r="AH15" s="34" t="e">
        <f t="shared" si="14"/>
        <v>#DIV/0!</v>
      </c>
      <c r="AI15" s="34">
        <f t="shared" si="14"/>
        <v>0.16666666666666666</v>
      </c>
      <c r="AJ15" s="34">
        <f t="shared" si="14"/>
        <v>0.12238935010153801</v>
      </c>
      <c r="AK15" s="34">
        <f t="shared" si="14"/>
        <v>6</v>
      </c>
      <c r="AL15" s="34">
        <f t="shared" si="14"/>
        <v>2</v>
      </c>
      <c r="AM15" s="34">
        <f t="shared" si="14"/>
        <v>0</v>
      </c>
      <c r="AN15" s="34" t="e">
        <f t="shared" si="14"/>
        <v>#DIV/0!</v>
      </c>
      <c r="AO15" s="34">
        <f t="shared" si="14"/>
        <v>0.09582816666666666</v>
      </c>
      <c r="AP15" s="21">
        <v>11</v>
      </c>
      <c r="AQ15" s="23">
        <v>0.0643</v>
      </c>
      <c r="AR15" s="23">
        <v>0.1289</v>
      </c>
      <c r="AS15" s="23">
        <v>0.6998</v>
      </c>
      <c r="AT15" s="23">
        <v>1.8125</v>
      </c>
      <c r="AU15" s="23">
        <v>2.2281</v>
      </c>
    </row>
    <row r="16" spans="2:47" ht="13.5" thickBot="1">
      <c r="B16" s="258" t="s">
        <v>57</v>
      </c>
      <c r="C16" s="640"/>
      <c r="D16" s="256" t="e">
        <f>C93</f>
        <v>#DIV/0!</v>
      </c>
      <c r="E16" s="251" t="s">
        <v>13</v>
      </c>
      <c r="F16" s="176" t="e">
        <f>(C5/(SQRT(C16)))</f>
        <v>#DIV/0!</v>
      </c>
      <c r="G16" s="87"/>
      <c r="H16" s="252" t="s">
        <v>110</v>
      </c>
      <c r="I16" s="82">
        <f>IF(I15&gt;0,(I15*C15),"")</f>
        <v>0</v>
      </c>
      <c r="J16" s="8">
        <f t="shared" si="15"/>
        <v>37</v>
      </c>
      <c r="K16" s="58">
        <f t="shared" si="20"/>
        <v>0.049319696191607185</v>
      </c>
      <c r="L16" s="8">
        <f t="shared" si="21"/>
        <v>29.950300925925927</v>
      </c>
      <c r="M16" s="59">
        <f t="shared" si="22"/>
        <v>0.034169687847089965</v>
      </c>
      <c r="N16" s="24">
        <f t="shared" si="23"/>
        <v>281.90060185185183</v>
      </c>
      <c r="O16" s="8">
        <f aca="true" t="shared" si="24" ref="O16:O24">O15+P15</f>
        <v>37</v>
      </c>
      <c r="P16" s="8">
        <f t="shared" si="12"/>
        <v>3</v>
      </c>
      <c r="R16" s="52">
        <f aca="true" t="shared" si="25" ref="R16:R26">R15+AE17</f>
        <v>0.0625</v>
      </c>
      <c r="S16" s="3">
        <f t="shared" si="2"/>
        <v>255.64421151192477</v>
      </c>
      <c r="T16" s="3">
        <f t="shared" si="3"/>
        <v>33.827084877981186</v>
      </c>
      <c r="U16" s="3">
        <f t="shared" si="4"/>
        <v>31.33167362599373</v>
      </c>
      <c r="V16" s="3"/>
      <c r="W16" s="3" t="e">
        <f t="shared" si="5"/>
        <v>#DIV/0!</v>
      </c>
      <c r="X16" s="3" t="e">
        <f t="shared" si="6"/>
        <v>#DIV/0!</v>
      </c>
      <c r="Y16" s="3" t="e">
        <f t="shared" si="7"/>
        <v>#DIV/0!</v>
      </c>
      <c r="Z16" s="3"/>
      <c r="AA16" s="3">
        <f t="shared" si="8"/>
        <v>441.576192</v>
      </c>
      <c r="AB16" s="3">
        <f t="shared" si="9"/>
        <v>147.192064</v>
      </c>
      <c r="AC16" s="3">
        <f t="shared" si="10"/>
        <v>24.532010666666665</v>
      </c>
      <c r="AD16" s="3"/>
      <c r="AE16" s="34">
        <f t="shared" si="13"/>
        <v>0.0025</v>
      </c>
      <c r="AF16" s="34">
        <f t="shared" si="11"/>
        <v>0.00390625</v>
      </c>
      <c r="AG16" s="34">
        <f t="shared" si="14"/>
        <v>0.9262303783790788</v>
      </c>
      <c r="AH16" s="34" t="e">
        <f t="shared" si="14"/>
        <v>#DIV/0!</v>
      </c>
      <c r="AI16" s="34">
        <f t="shared" si="14"/>
        <v>0.16666666666666666</v>
      </c>
      <c r="AJ16" s="34">
        <f t="shared" si="14"/>
        <v>0.12238935010153801</v>
      </c>
      <c r="AK16" s="34">
        <f t="shared" si="14"/>
        <v>6</v>
      </c>
      <c r="AL16" s="34">
        <f t="shared" si="14"/>
        <v>2</v>
      </c>
      <c r="AM16" s="34">
        <f t="shared" si="14"/>
        <v>0</v>
      </c>
      <c r="AN16" s="34" t="e">
        <f t="shared" si="14"/>
        <v>#DIV/0!</v>
      </c>
      <c r="AO16" s="34">
        <f t="shared" si="14"/>
        <v>0.09582816666666666</v>
      </c>
      <c r="AP16" s="21">
        <v>12</v>
      </c>
      <c r="AQ16" s="23">
        <v>0.0642</v>
      </c>
      <c r="AR16" s="23">
        <v>0.1286</v>
      </c>
      <c r="AS16" s="23">
        <v>0.6874</v>
      </c>
      <c r="AT16" s="23">
        <v>1.7959</v>
      </c>
      <c r="AU16" s="23">
        <v>2.201</v>
      </c>
    </row>
    <row r="17" spans="2:47" ht="13.5" thickBot="1">
      <c r="B17" s="515" t="s">
        <v>201</v>
      </c>
      <c r="C17" s="513" t="s">
        <v>58</v>
      </c>
      <c r="D17" s="652" t="e">
        <f>M28</f>
        <v>#DIV/0!</v>
      </c>
      <c r="E17" s="254" t="s">
        <v>59</v>
      </c>
      <c r="F17" s="643" t="e">
        <f>(SQRT(F15*F15+F16*F16))</f>
        <v>#DIV/0!</v>
      </c>
      <c r="G17" s="87"/>
      <c r="H17" s="252" t="s">
        <v>242</v>
      </c>
      <c r="I17" s="83">
        <f>IF(I15="","",C16/I15)</f>
        <v>0</v>
      </c>
      <c r="J17" s="8">
        <f t="shared" si="15"/>
        <v>40</v>
      </c>
      <c r="K17" s="58">
        <f t="shared" si="20"/>
        <v>0.04743416490252569</v>
      </c>
      <c r="L17" s="8">
        <f t="shared" si="21"/>
        <v>25.902962962962963</v>
      </c>
      <c r="M17" s="59">
        <f t="shared" si="22"/>
        <v>0.03674234614174767</v>
      </c>
      <c r="N17" s="24">
        <f t="shared" si="23"/>
        <v>291.8059259259259</v>
      </c>
      <c r="O17" s="8">
        <f t="shared" si="24"/>
        <v>40</v>
      </c>
      <c r="P17" s="8">
        <f t="shared" si="12"/>
        <v>3</v>
      </c>
      <c r="R17" s="52">
        <f t="shared" si="25"/>
        <v>0.065</v>
      </c>
      <c r="S17" s="3">
        <f t="shared" si="2"/>
        <v>236.3574440753742</v>
      </c>
      <c r="T17" s="3">
        <f t="shared" si="3"/>
        <v>31.27504149221633</v>
      </c>
      <c r="U17" s="3">
        <f t="shared" si="4"/>
        <v>28.967893515156923</v>
      </c>
      <c r="V17" s="3"/>
      <c r="W17" s="3" t="e">
        <f t="shared" si="5"/>
        <v>#DIV/0!</v>
      </c>
      <c r="X17" s="3" t="e">
        <f t="shared" si="6"/>
        <v>#DIV/0!</v>
      </c>
      <c r="Y17" s="3" t="e">
        <f t="shared" si="7"/>
        <v>#DIV/0!</v>
      </c>
      <c r="Z17" s="3"/>
      <c r="AA17" s="3">
        <f t="shared" si="8"/>
        <v>408.2620118343194</v>
      </c>
      <c r="AB17" s="3">
        <f t="shared" si="9"/>
        <v>136.08733727810647</v>
      </c>
      <c r="AC17" s="3">
        <f t="shared" si="10"/>
        <v>22.681222879684412</v>
      </c>
      <c r="AD17" s="3"/>
      <c r="AE17" s="34">
        <f t="shared" si="13"/>
        <v>0.0025</v>
      </c>
      <c r="AF17" s="34">
        <f t="shared" si="11"/>
        <v>0.0042250000000000005</v>
      </c>
      <c r="AG17" s="34">
        <f t="shared" si="14"/>
        <v>0.9262303783790788</v>
      </c>
      <c r="AH17" s="34" t="e">
        <f t="shared" si="14"/>
        <v>#DIV/0!</v>
      </c>
      <c r="AI17" s="34">
        <f t="shared" si="14"/>
        <v>0.16666666666666666</v>
      </c>
      <c r="AJ17" s="34">
        <f t="shared" si="14"/>
        <v>0.12238935010153801</v>
      </c>
      <c r="AK17" s="34">
        <f t="shared" si="14"/>
        <v>6</v>
      </c>
      <c r="AL17" s="34">
        <f t="shared" si="14"/>
        <v>2</v>
      </c>
      <c r="AM17" s="34">
        <f t="shared" si="14"/>
        <v>0</v>
      </c>
      <c r="AN17" s="34" t="e">
        <f t="shared" si="14"/>
        <v>#DIV/0!</v>
      </c>
      <c r="AO17" s="34">
        <f t="shared" si="14"/>
        <v>0.09582816666666666</v>
      </c>
      <c r="AP17" s="21">
        <v>13</v>
      </c>
      <c r="AQ17" s="23">
        <v>0.064</v>
      </c>
      <c r="AR17" s="23">
        <v>0.1283</v>
      </c>
      <c r="AS17" s="23">
        <v>0.6955</v>
      </c>
      <c r="AT17" s="23">
        <v>1.7823</v>
      </c>
      <c r="AU17" s="23">
        <v>2.1788</v>
      </c>
    </row>
    <row r="18" spans="2:47" ht="12.75">
      <c r="B18" s="257" t="s">
        <v>3</v>
      </c>
      <c r="C18" s="514" t="s">
        <v>60</v>
      </c>
      <c r="D18" s="652" t="e">
        <f>M27</f>
        <v>#DIV/0!</v>
      </c>
      <c r="E18" s="255" t="s">
        <v>92</v>
      </c>
      <c r="F18" s="517">
        <f>(C15*E3+C16*E5)+H3+H4+H5</f>
        <v>0</v>
      </c>
      <c r="G18" s="87"/>
      <c r="H18" s="252" t="s">
        <v>11</v>
      </c>
      <c r="I18" s="83" t="e">
        <f>(F18/C15)</f>
        <v>#DIV/0!</v>
      </c>
      <c r="J18" s="8">
        <f t="shared" si="15"/>
        <v>43</v>
      </c>
      <c r="K18" s="58">
        <f t="shared" si="20"/>
        <v>0.0457495710997814</v>
      </c>
      <c r="L18" s="8">
        <f t="shared" si="21"/>
        <v>23.204737654320997</v>
      </c>
      <c r="M18" s="59">
        <f t="shared" si="22"/>
        <v>0.038819798353237824</v>
      </c>
      <c r="N18" s="24">
        <f t="shared" si="23"/>
        <v>304.409475308642</v>
      </c>
      <c r="O18" s="8">
        <f t="shared" si="24"/>
        <v>43</v>
      </c>
      <c r="P18" s="8">
        <f t="shared" si="12"/>
        <v>3</v>
      </c>
      <c r="R18" s="52">
        <f t="shared" si="25"/>
        <v>0.0675</v>
      </c>
      <c r="S18" s="3">
        <f t="shared" si="2"/>
        <v>219.1737067146131</v>
      </c>
      <c r="T18" s="3">
        <f t="shared" si="3"/>
        <v>29.00127304353668</v>
      </c>
      <c r="U18" s="3">
        <f t="shared" si="4"/>
        <v>26.861860104589958</v>
      </c>
      <c r="V18" s="3"/>
      <c r="W18" s="3" t="e">
        <f t="shared" si="5"/>
        <v>#DIV/0!</v>
      </c>
      <c r="X18" s="3" t="e">
        <f t="shared" si="6"/>
        <v>#DIV/0!</v>
      </c>
      <c r="Y18" s="3" t="e">
        <f t="shared" si="7"/>
        <v>#DIV/0!</v>
      </c>
      <c r="Z18" s="3"/>
      <c r="AA18" s="3">
        <f t="shared" si="8"/>
        <v>378.58041152263365</v>
      </c>
      <c r="AB18" s="3">
        <f t="shared" si="9"/>
        <v>126.19347050754456</v>
      </c>
      <c r="AC18" s="3">
        <f t="shared" si="10"/>
        <v>21.03224508459076</v>
      </c>
      <c r="AD18" s="3"/>
      <c r="AE18" s="34">
        <f t="shared" si="13"/>
        <v>0.0025</v>
      </c>
      <c r="AF18" s="34">
        <f t="shared" si="11"/>
        <v>0.00455625</v>
      </c>
      <c r="AG18" s="34">
        <f t="shared" si="14"/>
        <v>0.9262303783790788</v>
      </c>
      <c r="AH18" s="34" t="e">
        <f t="shared" si="14"/>
        <v>#DIV/0!</v>
      </c>
      <c r="AI18" s="34">
        <f t="shared" si="14"/>
        <v>0.16666666666666666</v>
      </c>
      <c r="AJ18" s="34">
        <f t="shared" si="14"/>
        <v>0.12238935010153801</v>
      </c>
      <c r="AK18" s="34">
        <f t="shared" si="14"/>
        <v>6</v>
      </c>
      <c r="AL18" s="34">
        <f t="shared" si="14"/>
        <v>2</v>
      </c>
      <c r="AM18" s="34">
        <f t="shared" si="14"/>
        <v>0</v>
      </c>
      <c r="AN18" s="34" t="e">
        <f t="shared" si="14"/>
        <v>#DIV/0!</v>
      </c>
      <c r="AO18" s="34">
        <f t="shared" si="14"/>
        <v>0.09582816666666666</v>
      </c>
      <c r="AP18" s="21">
        <v>14</v>
      </c>
      <c r="AQ18" s="23">
        <v>0.0639</v>
      </c>
      <c r="AR18" s="23">
        <v>0.1281</v>
      </c>
      <c r="AS18" s="23">
        <v>0.6938</v>
      </c>
      <c r="AT18" s="23">
        <v>1.7709</v>
      </c>
      <c r="AU18" s="23">
        <v>2.1604</v>
      </c>
    </row>
    <row r="19" spans="2:47" ht="13.5" thickBot="1">
      <c r="B19" s="284"/>
      <c r="C19" s="89"/>
      <c r="D19" s="89"/>
      <c r="E19" s="653" t="s">
        <v>241</v>
      </c>
      <c r="F19" s="493">
        <f>(F18/G11)</f>
        <v>0</v>
      </c>
      <c r="G19" s="493" t="e">
        <f>1/(F19)</f>
        <v>#DIV/0!</v>
      </c>
      <c r="H19" s="286" t="s">
        <v>151</v>
      </c>
      <c r="I19" s="177" t="e">
        <f>SQRT(C15)*F17</f>
        <v>#DIV/0!</v>
      </c>
      <c r="J19" s="8">
        <f t="shared" si="15"/>
        <v>46</v>
      </c>
      <c r="K19" s="58">
        <f t="shared" si="20"/>
        <v>0.044232586846469135</v>
      </c>
      <c r="L19" s="8">
        <f t="shared" si="21"/>
        <v>21.27743386243386</v>
      </c>
      <c r="M19" s="59">
        <f t="shared" si="22"/>
        <v>0.040539835481530576</v>
      </c>
      <c r="N19" s="24">
        <f t="shared" si="23"/>
        <v>318.55486772486773</v>
      </c>
      <c r="O19" s="8">
        <f t="shared" si="24"/>
        <v>46</v>
      </c>
      <c r="P19" s="8">
        <f t="shared" si="12"/>
        <v>3</v>
      </c>
      <c r="R19" s="52">
        <f t="shared" si="25"/>
        <v>0.07</v>
      </c>
      <c r="S19" s="3">
        <f t="shared" si="2"/>
        <v>203.7980002486645</v>
      </c>
      <c r="T19" s="3">
        <f t="shared" si="3"/>
        <v>26.966744960125304</v>
      </c>
      <c r="U19" s="3">
        <f t="shared" si="4"/>
        <v>24.977418388068976</v>
      </c>
      <c r="V19" s="3"/>
      <c r="W19" s="3" t="e">
        <f t="shared" si="5"/>
        <v>#DIV/0!</v>
      </c>
      <c r="X19" s="3" t="e">
        <f t="shared" si="6"/>
        <v>#DIV/0!</v>
      </c>
      <c r="Y19" s="3" t="e">
        <f t="shared" si="7"/>
        <v>#DIV/0!</v>
      </c>
      <c r="Z19" s="3"/>
      <c r="AA19" s="3">
        <f t="shared" si="8"/>
        <v>352.0218367346938</v>
      </c>
      <c r="AB19" s="3">
        <f t="shared" si="9"/>
        <v>117.34061224489794</v>
      </c>
      <c r="AC19" s="3">
        <f t="shared" si="10"/>
        <v>19.556768707482988</v>
      </c>
      <c r="AD19" s="3"/>
      <c r="AE19" s="34">
        <f t="shared" si="13"/>
        <v>0.0025</v>
      </c>
      <c r="AF19" s="34">
        <f t="shared" si="11"/>
        <v>0.004900000000000001</v>
      </c>
      <c r="AG19" s="34">
        <f t="shared" si="14"/>
        <v>0.9262303783790788</v>
      </c>
      <c r="AH19" s="34" t="e">
        <f t="shared" si="14"/>
        <v>#DIV/0!</v>
      </c>
      <c r="AI19" s="34">
        <f t="shared" si="14"/>
        <v>0.16666666666666666</v>
      </c>
      <c r="AJ19" s="34">
        <f t="shared" si="14"/>
        <v>0.12238935010153801</v>
      </c>
      <c r="AK19" s="34">
        <f t="shared" si="14"/>
        <v>6</v>
      </c>
      <c r="AL19" s="34">
        <f t="shared" si="14"/>
        <v>2</v>
      </c>
      <c r="AM19" s="34">
        <f t="shared" si="14"/>
        <v>0</v>
      </c>
      <c r="AN19" s="34" t="e">
        <f t="shared" si="14"/>
        <v>#DIV/0!</v>
      </c>
      <c r="AO19" s="34">
        <f t="shared" si="14"/>
        <v>0.09582816666666666</v>
      </c>
      <c r="AP19" s="21">
        <v>15</v>
      </c>
      <c r="AQ19" s="23">
        <v>0.0638</v>
      </c>
      <c r="AR19" s="23">
        <v>0.128</v>
      </c>
      <c r="AS19" s="23">
        <v>0.6924</v>
      </c>
      <c r="AT19" s="23">
        <v>1.7613</v>
      </c>
      <c r="AU19" s="23">
        <v>2.1448</v>
      </c>
    </row>
    <row r="20" spans="2:47" ht="13.5" thickBot="1">
      <c r="B20" s="488" t="s">
        <v>234</v>
      </c>
      <c r="C20" s="489" t="s">
        <v>123</v>
      </c>
      <c r="D20" s="489" t="s">
        <v>148</v>
      </c>
      <c r="E20" s="490" t="s">
        <v>152</v>
      </c>
      <c r="F20" s="489" t="s">
        <v>121</v>
      </c>
      <c r="G20" s="489" t="s">
        <v>124</v>
      </c>
      <c r="H20" s="489" t="s">
        <v>81</v>
      </c>
      <c r="I20" s="491" t="s">
        <v>138</v>
      </c>
      <c r="J20" s="8">
        <f t="shared" si="15"/>
        <v>49</v>
      </c>
      <c r="K20" s="58">
        <f t="shared" si="20"/>
        <v>0.04285714285714286</v>
      </c>
      <c r="L20" s="8">
        <f t="shared" si="21"/>
        <v>19.83195601851852</v>
      </c>
      <c r="M20" s="59">
        <f t="shared" si="22"/>
        <v>0.04199125273342591</v>
      </c>
      <c r="N20" s="24">
        <f t="shared" si="23"/>
        <v>333.66391203703705</v>
      </c>
      <c r="O20" s="8">
        <f t="shared" si="24"/>
        <v>49</v>
      </c>
      <c r="P20" s="8">
        <f t="shared" si="12"/>
        <v>3</v>
      </c>
      <c r="R20" s="52">
        <f t="shared" si="25"/>
        <v>0.07250000000000001</v>
      </c>
      <c r="S20" s="3">
        <f t="shared" si="2"/>
        <v>189.98529392978944</v>
      </c>
      <c r="T20" s="3">
        <f t="shared" si="3"/>
        <v>25.13903454071134</v>
      </c>
      <c r="U20" s="3">
        <f t="shared" si="4"/>
        <v>23.284537474727795</v>
      </c>
      <c r="V20" s="3"/>
      <c r="W20" s="3" t="e">
        <f t="shared" si="5"/>
        <v>#DIV/0!</v>
      </c>
      <c r="X20" s="3" t="e">
        <f t="shared" si="6"/>
        <v>#DIV/0!</v>
      </c>
      <c r="Y20" s="3" t="e">
        <f t="shared" si="7"/>
        <v>#DIV/0!</v>
      </c>
      <c r="Z20" s="3"/>
      <c r="AA20" s="3">
        <f t="shared" si="8"/>
        <v>328.16304399524364</v>
      </c>
      <c r="AB20" s="3">
        <f t="shared" si="9"/>
        <v>109.38768133174788</v>
      </c>
      <c r="AC20" s="3">
        <f t="shared" si="10"/>
        <v>18.23128022195798</v>
      </c>
      <c r="AD20" s="3"/>
      <c r="AE20" s="34">
        <f t="shared" si="13"/>
        <v>0.0025</v>
      </c>
      <c r="AF20" s="34">
        <f t="shared" si="11"/>
        <v>0.005256250000000001</v>
      </c>
      <c r="AG20" s="34">
        <f t="shared" si="14"/>
        <v>0.9262303783790788</v>
      </c>
      <c r="AH20" s="34" t="e">
        <f t="shared" si="14"/>
        <v>#DIV/0!</v>
      </c>
      <c r="AI20" s="34">
        <f t="shared" si="14"/>
        <v>0.16666666666666666</v>
      </c>
      <c r="AJ20" s="34">
        <f t="shared" si="14"/>
        <v>0.12238935010153801</v>
      </c>
      <c r="AK20" s="34">
        <f t="shared" si="14"/>
        <v>6</v>
      </c>
      <c r="AL20" s="34">
        <f t="shared" si="14"/>
        <v>2</v>
      </c>
      <c r="AM20" s="34">
        <f t="shared" si="14"/>
        <v>0</v>
      </c>
      <c r="AN20" s="34" t="e">
        <f t="shared" si="14"/>
        <v>#DIV/0!</v>
      </c>
      <c r="AO20" s="34">
        <f t="shared" si="14"/>
        <v>0.09582816666666666</v>
      </c>
      <c r="AP20" s="21">
        <v>16</v>
      </c>
      <c r="AQ20" s="23">
        <v>0.0638</v>
      </c>
      <c r="AR20" s="23">
        <v>0.1278</v>
      </c>
      <c r="AS20" s="23">
        <v>0.6912</v>
      </c>
      <c r="AT20" s="23">
        <v>1.7531</v>
      </c>
      <c r="AU20" s="23">
        <v>2.1314</v>
      </c>
    </row>
    <row r="21" spans="2:47" ht="13.5" thickTop="1">
      <c r="B21" s="245"/>
      <c r="C21" s="246" t="s">
        <v>147</v>
      </c>
      <c r="D21" s="246" t="s">
        <v>149</v>
      </c>
      <c r="E21" s="246" t="s">
        <v>231</v>
      </c>
      <c r="F21" s="655" t="s">
        <v>232</v>
      </c>
      <c r="G21" s="656"/>
      <c r="H21" s="657" t="s">
        <v>233</v>
      </c>
      <c r="I21" s="658"/>
      <c r="J21" s="8">
        <f t="shared" si="15"/>
        <v>52</v>
      </c>
      <c r="K21" s="58">
        <f t="shared" si="20"/>
        <v>0.041602514716892185</v>
      </c>
      <c r="L21" s="8">
        <f t="shared" si="21"/>
        <v>18.70769547325103</v>
      </c>
      <c r="M21" s="59">
        <f t="shared" si="22"/>
        <v>0.043234601527373524</v>
      </c>
      <c r="N21" s="24">
        <f t="shared" si="23"/>
        <v>349.41539094650204</v>
      </c>
      <c r="O21" s="8">
        <f t="shared" si="24"/>
        <v>52</v>
      </c>
      <c r="P21" s="8">
        <f t="shared" si="12"/>
        <v>3</v>
      </c>
      <c r="R21" s="52">
        <f t="shared" si="25"/>
        <v>0.07500000000000001</v>
      </c>
      <c r="S21" s="3">
        <f t="shared" si="2"/>
        <v>177.53070243883656</v>
      </c>
      <c r="T21" s="3">
        <f t="shared" si="3"/>
        <v>23.491031165264705</v>
      </c>
      <c r="U21" s="3">
        <f t="shared" si="4"/>
        <v>21.75810668471786</v>
      </c>
      <c r="V21" s="3"/>
      <c r="W21" s="3" t="e">
        <f t="shared" si="5"/>
        <v>#DIV/0!</v>
      </c>
      <c r="X21" s="3" t="e">
        <f t="shared" si="6"/>
        <v>#DIV/0!</v>
      </c>
      <c r="Y21" s="3" t="e">
        <f t="shared" si="7"/>
        <v>#DIV/0!</v>
      </c>
      <c r="Z21" s="3"/>
      <c r="AA21" s="3">
        <f t="shared" si="8"/>
        <v>306.65013333333326</v>
      </c>
      <c r="AB21" s="3">
        <f t="shared" si="9"/>
        <v>102.21671111111108</v>
      </c>
      <c r="AC21" s="3">
        <f t="shared" si="10"/>
        <v>17.036118518518514</v>
      </c>
      <c r="AD21" s="3"/>
      <c r="AE21" s="34">
        <f t="shared" si="13"/>
        <v>0.0025</v>
      </c>
      <c r="AF21" s="34">
        <f t="shared" si="11"/>
        <v>0.0056250000000000015</v>
      </c>
      <c r="AG21" s="34">
        <f t="shared" si="14"/>
        <v>0.9262303783790788</v>
      </c>
      <c r="AH21" s="34" t="e">
        <f t="shared" si="14"/>
        <v>#DIV/0!</v>
      </c>
      <c r="AI21" s="34">
        <f t="shared" si="14"/>
        <v>0.16666666666666666</v>
      </c>
      <c r="AJ21" s="34">
        <f t="shared" si="14"/>
        <v>0.12238935010153801</v>
      </c>
      <c r="AK21" s="34">
        <f t="shared" si="14"/>
        <v>6</v>
      </c>
      <c r="AL21" s="34">
        <f t="shared" si="14"/>
        <v>2</v>
      </c>
      <c r="AM21" s="34">
        <f t="shared" si="14"/>
        <v>0</v>
      </c>
      <c r="AN21" s="34" t="e">
        <f t="shared" si="14"/>
        <v>#DIV/0!</v>
      </c>
      <c r="AO21" s="34">
        <f t="shared" si="14"/>
        <v>0.09582816666666666</v>
      </c>
      <c r="AP21" s="21">
        <v>17</v>
      </c>
      <c r="AQ21" s="23">
        <v>0.0637</v>
      </c>
      <c r="AR21" s="23">
        <v>0.1277</v>
      </c>
      <c r="AS21" s="23">
        <v>0.6901</v>
      </c>
      <c r="AT21" s="23">
        <v>1.7459</v>
      </c>
      <c r="AU21" s="23">
        <v>2.1199</v>
      </c>
    </row>
    <row r="22" spans="1:47" ht="15.75" customHeight="1" thickBot="1">
      <c r="A22" s="686">
        <v>3</v>
      </c>
      <c r="B22" s="659" t="s">
        <v>105</v>
      </c>
      <c r="C22" s="660"/>
      <c r="D22" s="660"/>
      <c r="E22" s="660"/>
      <c r="F22" s="660"/>
      <c r="G22" s="660"/>
      <c r="H22" s="661">
        <f>D9</f>
        <v>0.06</v>
      </c>
      <c r="I22" s="662"/>
      <c r="J22" s="8">
        <f t="shared" si="15"/>
        <v>55</v>
      </c>
      <c r="K22" s="58">
        <f t="shared" si="20"/>
        <v>0.04045199174779452</v>
      </c>
      <c r="L22" s="8">
        <f t="shared" si="21"/>
        <v>17.808287037037033</v>
      </c>
      <c r="M22" s="59">
        <f t="shared" si="22"/>
        <v>0.04431293675255979</v>
      </c>
      <c r="N22" s="24">
        <f t="shared" si="23"/>
        <v>365.61657407407404</v>
      </c>
      <c r="O22" s="8">
        <f t="shared" si="24"/>
        <v>55</v>
      </c>
      <c r="P22" s="8">
        <f t="shared" si="12"/>
        <v>3</v>
      </c>
      <c r="R22" s="52">
        <f t="shared" si="25"/>
        <v>0.07750000000000001</v>
      </c>
      <c r="S22" s="3">
        <f t="shared" si="2"/>
        <v>166.2618441154557</v>
      </c>
      <c r="T22" s="3">
        <f t="shared" si="3"/>
        <v>21.99992512875987</v>
      </c>
      <c r="U22" s="3">
        <f t="shared" si="4"/>
        <v>20.37699897632266</v>
      </c>
      <c r="V22" s="3"/>
      <c r="W22" s="3" t="e">
        <f t="shared" si="5"/>
        <v>#DIV/0!</v>
      </c>
      <c r="X22" s="3" t="e">
        <f t="shared" si="6"/>
        <v>#DIV/0!</v>
      </c>
      <c r="Y22" s="3" t="e">
        <f t="shared" si="7"/>
        <v>#DIV/0!</v>
      </c>
      <c r="Z22" s="3"/>
      <c r="AA22" s="3">
        <f t="shared" si="8"/>
        <v>287.1853485952132</v>
      </c>
      <c r="AB22" s="3">
        <f t="shared" si="9"/>
        <v>95.72844953173774</v>
      </c>
      <c r="AC22" s="3">
        <f t="shared" si="10"/>
        <v>15.954741588622955</v>
      </c>
      <c r="AD22" s="3"/>
      <c r="AE22" s="34">
        <f t="shared" si="13"/>
        <v>0.0025</v>
      </c>
      <c r="AF22" s="34">
        <f t="shared" si="11"/>
        <v>0.006006250000000002</v>
      </c>
      <c r="AG22" s="34">
        <f t="shared" si="14"/>
        <v>0.9262303783790788</v>
      </c>
      <c r="AH22" s="34" t="e">
        <f t="shared" si="14"/>
        <v>#DIV/0!</v>
      </c>
      <c r="AI22" s="34">
        <f t="shared" si="14"/>
        <v>0.16666666666666666</v>
      </c>
      <c r="AJ22" s="34">
        <f t="shared" si="14"/>
        <v>0.12238935010153801</v>
      </c>
      <c r="AK22" s="34">
        <f t="shared" si="14"/>
        <v>6</v>
      </c>
      <c r="AL22" s="34">
        <f t="shared" si="14"/>
        <v>2</v>
      </c>
      <c r="AM22" s="34">
        <f t="shared" si="14"/>
        <v>0</v>
      </c>
      <c r="AN22" s="34" t="e">
        <f t="shared" si="14"/>
        <v>#DIV/0!</v>
      </c>
      <c r="AO22" s="34">
        <f t="shared" si="14"/>
        <v>0.09582816666666666</v>
      </c>
      <c r="AP22" s="21">
        <v>18</v>
      </c>
      <c r="AQ22" s="23">
        <v>0.0636</v>
      </c>
      <c r="AR22" s="23">
        <v>0.1276</v>
      </c>
      <c r="AS22" s="23">
        <v>0.6892</v>
      </c>
      <c r="AT22" s="23">
        <v>1.7396</v>
      </c>
      <c r="AU22" s="23">
        <v>2.1098</v>
      </c>
    </row>
    <row r="23" spans="2:47" ht="13.5" thickBot="1">
      <c r="B23" s="663" t="s">
        <v>3</v>
      </c>
      <c r="C23" s="259" t="s">
        <v>101</v>
      </c>
      <c r="D23" s="259" t="s">
        <v>61</v>
      </c>
      <c r="E23" s="259"/>
      <c r="F23" s="260" t="s">
        <v>62</v>
      </c>
      <c r="G23" s="259"/>
      <c r="H23" s="259" t="s">
        <v>55</v>
      </c>
      <c r="I23" s="664">
        <f>I15</f>
        <v>6</v>
      </c>
      <c r="J23" s="8">
        <f t="shared" si="15"/>
        <v>58</v>
      </c>
      <c r="K23" s="58">
        <f t="shared" si="20"/>
        <v>0.039391929857916765</v>
      </c>
      <c r="L23" s="8">
        <f t="shared" si="21"/>
        <v>17.072407407407404</v>
      </c>
      <c r="M23" s="59">
        <f t="shared" si="22"/>
        <v>0.04525788176736695</v>
      </c>
      <c r="N23" s="24">
        <f t="shared" si="23"/>
        <v>382.1448148148148</v>
      </c>
      <c r="O23" s="8">
        <f t="shared" si="24"/>
        <v>58</v>
      </c>
      <c r="P23" s="8">
        <f t="shared" si="12"/>
        <v>3</v>
      </c>
      <c r="R23" s="52">
        <f t="shared" si="25"/>
        <v>0.08000000000000002</v>
      </c>
      <c r="S23" s="3">
        <f t="shared" si="2"/>
        <v>156.03284394038369</v>
      </c>
      <c r="T23" s="3">
        <f t="shared" si="3"/>
        <v>20.64641411009593</v>
      </c>
      <c r="U23" s="3">
        <f t="shared" si="4"/>
        <v>19.123335953365306</v>
      </c>
      <c r="V23" s="3"/>
      <c r="W23" s="3" t="e">
        <f t="shared" si="5"/>
        <v>#DIV/0!</v>
      </c>
      <c r="X23" s="3" t="e">
        <f t="shared" si="6"/>
        <v>#DIV/0!</v>
      </c>
      <c r="Y23" s="3" t="e">
        <f t="shared" si="7"/>
        <v>#DIV/0!</v>
      </c>
      <c r="Z23" s="3"/>
      <c r="AA23" s="3">
        <f t="shared" si="8"/>
        <v>269.5167187499999</v>
      </c>
      <c r="AB23" s="3">
        <f t="shared" si="9"/>
        <v>89.83890624999995</v>
      </c>
      <c r="AC23" s="3">
        <f t="shared" si="10"/>
        <v>14.973151041666657</v>
      </c>
      <c r="AD23" s="3"/>
      <c r="AE23" s="34">
        <f t="shared" si="13"/>
        <v>0.0025</v>
      </c>
      <c r="AF23" s="34">
        <f t="shared" si="11"/>
        <v>0.006400000000000003</v>
      </c>
      <c r="AG23" s="34">
        <f t="shared" si="14"/>
        <v>0.9262303783790788</v>
      </c>
      <c r="AH23" s="34" t="e">
        <f t="shared" si="14"/>
        <v>#DIV/0!</v>
      </c>
      <c r="AI23" s="34">
        <f t="shared" si="14"/>
        <v>0.16666666666666666</v>
      </c>
      <c r="AJ23" s="34">
        <f t="shared" si="14"/>
        <v>0.12238935010153801</v>
      </c>
      <c r="AK23" s="34">
        <f t="shared" si="14"/>
        <v>6</v>
      </c>
      <c r="AL23" s="34">
        <f t="shared" si="14"/>
        <v>2</v>
      </c>
      <c r="AM23" s="34">
        <f t="shared" si="14"/>
        <v>0</v>
      </c>
      <c r="AN23" s="34" t="e">
        <f t="shared" si="14"/>
        <v>#DIV/0!</v>
      </c>
      <c r="AO23" s="34">
        <f t="shared" si="14"/>
        <v>0.09582816666666666</v>
      </c>
      <c r="AP23" s="21">
        <v>19</v>
      </c>
      <c r="AQ23" s="23">
        <v>0.0636</v>
      </c>
      <c r="AR23" s="23">
        <v>0.1274</v>
      </c>
      <c r="AS23" s="23">
        <v>0.6884</v>
      </c>
      <c r="AT23" s="23">
        <v>1.7341</v>
      </c>
      <c r="AU23" s="23">
        <v>2.1009</v>
      </c>
    </row>
    <row r="24" spans="2:47" ht="13.5" thickBot="1">
      <c r="B24" s="663" t="s">
        <v>102</v>
      </c>
      <c r="C24" s="178">
        <f>(C25*F24)</f>
        <v>26.618935185185183</v>
      </c>
      <c r="D24" s="179">
        <f>(C3/SQRT(C24))</f>
        <v>0.0581468128792342</v>
      </c>
      <c r="E24" s="264" t="s">
        <v>9</v>
      </c>
      <c r="F24" s="180">
        <f>1/(I23)</f>
        <v>0.16666666666666666</v>
      </c>
      <c r="G24" s="259" t="s">
        <v>63</v>
      </c>
      <c r="H24" s="259"/>
      <c r="I24" s="665"/>
      <c r="J24" s="8">
        <f t="shared" si="15"/>
        <v>61</v>
      </c>
      <c r="K24" s="58">
        <f t="shared" si="20"/>
        <v>0.03841106397986879</v>
      </c>
      <c r="L24" s="8">
        <f t="shared" si="21"/>
        <v>16.45917438271605</v>
      </c>
      <c r="M24" s="59">
        <f t="shared" si="22"/>
        <v>0.046093276775842545</v>
      </c>
      <c r="N24" s="24">
        <f t="shared" si="23"/>
        <v>398.9183487654321</v>
      </c>
      <c r="O24" s="8">
        <f t="shared" si="24"/>
        <v>61</v>
      </c>
      <c r="P24" s="8">
        <f t="shared" si="12"/>
        <v>3</v>
      </c>
      <c r="R24" s="52">
        <f t="shared" si="25"/>
        <v>0.08250000000000002</v>
      </c>
      <c r="S24" s="3">
        <f t="shared" si="2"/>
        <v>146.7195887924269</v>
      </c>
      <c r="T24" s="3">
        <f t="shared" si="3"/>
        <v>19.414075343193968</v>
      </c>
      <c r="U24" s="3">
        <f t="shared" si="4"/>
        <v>17.981906351006494</v>
      </c>
      <c r="V24" s="3"/>
      <c r="W24" s="3" t="e">
        <f t="shared" si="5"/>
        <v>#DIV/0!</v>
      </c>
      <c r="X24" s="3" t="e">
        <f t="shared" si="6"/>
        <v>#DIV/0!</v>
      </c>
      <c r="Y24" s="3" t="e">
        <f t="shared" si="7"/>
        <v>#DIV/0!</v>
      </c>
      <c r="Z24" s="3"/>
      <c r="AA24" s="3">
        <f t="shared" si="8"/>
        <v>253.42986225895302</v>
      </c>
      <c r="AB24" s="3">
        <f t="shared" si="9"/>
        <v>84.47662075298435</v>
      </c>
      <c r="AC24" s="3">
        <f t="shared" si="10"/>
        <v>14.079436792164056</v>
      </c>
      <c r="AD24" s="3"/>
      <c r="AE24" s="34">
        <f t="shared" si="13"/>
        <v>0.0025</v>
      </c>
      <c r="AF24" s="34">
        <f t="shared" si="11"/>
        <v>0.006806250000000003</v>
      </c>
      <c r="AG24" s="34">
        <f t="shared" si="14"/>
        <v>0.9262303783790788</v>
      </c>
      <c r="AH24" s="34" t="e">
        <f t="shared" si="14"/>
        <v>#DIV/0!</v>
      </c>
      <c r="AI24" s="34">
        <f t="shared" si="14"/>
        <v>0.16666666666666666</v>
      </c>
      <c r="AJ24" s="34">
        <f t="shared" si="14"/>
        <v>0.12238935010153801</v>
      </c>
      <c r="AK24" s="34">
        <f t="shared" si="14"/>
        <v>6</v>
      </c>
      <c r="AL24" s="34">
        <f t="shared" si="14"/>
        <v>2</v>
      </c>
      <c r="AM24" s="34">
        <f t="shared" si="14"/>
        <v>0</v>
      </c>
      <c r="AN24" s="34" t="e">
        <f t="shared" si="14"/>
        <v>#DIV/0!</v>
      </c>
      <c r="AO24" s="34">
        <f t="shared" si="14"/>
        <v>0.09582816666666666</v>
      </c>
      <c r="AP24" s="21">
        <v>20</v>
      </c>
      <c r="AQ24" s="23">
        <v>0.0635</v>
      </c>
      <c r="AR24" s="23">
        <v>0.1274</v>
      </c>
      <c r="AS24" s="23">
        <v>0.6876</v>
      </c>
      <c r="AT24" s="23">
        <v>1.7291</v>
      </c>
      <c r="AU24" s="23">
        <v>2.093</v>
      </c>
    </row>
    <row r="25" spans="2:47" ht="14.25" thickBot="1" thickTop="1">
      <c r="B25" s="663" t="s">
        <v>103</v>
      </c>
      <c r="C25" s="181">
        <f>((C3*C3)+(C5*C5*F24))/(D9*D9*F24)</f>
        <v>159.7136111111111</v>
      </c>
      <c r="D25" s="179">
        <f>(C5/SQRT(C25))</f>
        <v>0.014796896701245317</v>
      </c>
      <c r="E25" s="265" t="s">
        <v>13</v>
      </c>
      <c r="F25" s="260" t="s">
        <v>3</v>
      </c>
      <c r="G25" s="260" t="s">
        <v>3</v>
      </c>
      <c r="H25" s="260" t="s">
        <v>3</v>
      </c>
      <c r="I25" s="665"/>
      <c r="J25" s="10" t="s">
        <v>3</v>
      </c>
      <c r="K25" s="10" t="s">
        <v>3</v>
      </c>
      <c r="L25" s="40" t="s">
        <v>88</v>
      </c>
      <c r="M25" s="494">
        <f>C11*E3+C12*E5</f>
        <v>277.39172256068224</v>
      </c>
      <c r="N25" s="10" t="s">
        <v>3</v>
      </c>
      <c r="O25" s="10" t="s">
        <v>3</v>
      </c>
      <c r="R25" s="52">
        <f t="shared" si="25"/>
        <v>0.08500000000000002</v>
      </c>
      <c r="S25" s="3">
        <f t="shared" si="2"/>
        <v>138.2159448053226</v>
      </c>
      <c r="T25" s="3">
        <f t="shared" si="3"/>
        <v>18.288865094064217</v>
      </c>
      <c r="U25" s="3">
        <f t="shared" si="4"/>
        <v>16.939702436199028</v>
      </c>
      <c r="V25" s="3"/>
      <c r="W25" s="3" t="e">
        <f t="shared" si="5"/>
        <v>#DIV/0!</v>
      </c>
      <c r="X25" s="3" t="e">
        <f t="shared" si="6"/>
        <v>#DIV/0!</v>
      </c>
      <c r="Y25" s="3" t="e">
        <f t="shared" si="7"/>
        <v>#DIV/0!</v>
      </c>
      <c r="Z25" s="3"/>
      <c r="AA25" s="3">
        <f t="shared" si="8"/>
        <v>238.74145328719712</v>
      </c>
      <c r="AB25" s="3">
        <f t="shared" si="9"/>
        <v>79.5804844290657</v>
      </c>
      <c r="AC25" s="3">
        <f t="shared" si="10"/>
        <v>13.263414071510951</v>
      </c>
      <c r="AD25" s="3"/>
      <c r="AE25" s="34">
        <f t="shared" si="13"/>
        <v>0.0025</v>
      </c>
      <c r="AF25" s="34">
        <f t="shared" si="11"/>
        <v>0.007225000000000003</v>
      </c>
      <c r="AG25" s="34">
        <f t="shared" si="14"/>
        <v>0.9262303783790788</v>
      </c>
      <c r="AH25" s="34" t="e">
        <f t="shared" si="14"/>
        <v>#DIV/0!</v>
      </c>
      <c r="AI25" s="34">
        <f t="shared" si="14"/>
        <v>0.16666666666666666</v>
      </c>
      <c r="AJ25" s="34">
        <f t="shared" si="14"/>
        <v>0.12238935010153801</v>
      </c>
      <c r="AK25" s="34">
        <f t="shared" si="14"/>
        <v>6</v>
      </c>
      <c r="AL25" s="34">
        <f t="shared" si="14"/>
        <v>2</v>
      </c>
      <c r="AM25" s="34">
        <f t="shared" si="14"/>
        <v>0</v>
      </c>
      <c r="AN25" s="34" t="e">
        <f t="shared" si="14"/>
        <v>#DIV/0!</v>
      </c>
      <c r="AO25" s="34">
        <f t="shared" si="14"/>
        <v>0.09582816666666666</v>
      </c>
      <c r="AP25" s="21">
        <v>21</v>
      </c>
      <c r="AQ25" s="23">
        <v>0.0635</v>
      </c>
      <c r="AR25" s="23">
        <v>0.1273</v>
      </c>
      <c r="AS25" s="23">
        <v>0.687</v>
      </c>
      <c r="AT25" s="23">
        <v>1.7247</v>
      </c>
      <c r="AU25" s="23">
        <v>2.086</v>
      </c>
    </row>
    <row r="26" spans="2:47" ht="13.5" thickBot="1">
      <c r="B26" s="663" t="s">
        <v>3</v>
      </c>
      <c r="C26" s="263" t="s">
        <v>3</v>
      </c>
      <c r="D26" s="644">
        <f>SQRT((D24*D24)+(D25*D25))</f>
        <v>0.060000000000000005</v>
      </c>
      <c r="E26" s="266" t="s">
        <v>59</v>
      </c>
      <c r="F26" s="260" t="s">
        <v>3</v>
      </c>
      <c r="G26" s="261"/>
      <c r="H26" s="262" t="s">
        <v>109</v>
      </c>
      <c r="I26" s="666">
        <f>(C27/C24)</f>
        <v>18</v>
      </c>
      <c r="J26" s="10" t="s">
        <v>3</v>
      </c>
      <c r="L26" s="40" t="s">
        <v>89</v>
      </c>
      <c r="M26" s="495" t="e">
        <f>D15*E3+D16*E5</f>
        <v>#DIV/0!</v>
      </c>
      <c r="N26" s="51"/>
      <c r="O26" s="51"/>
      <c r="P26" s="51"/>
      <c r="R26" s="52">
        <f t="shared" si="25"/>
        <v>0.08750000000000002</v>
      </c>
      <c r="S26" s="3">
        <f t="shared" si="2"/>
        <v>130.4307201591452</v>
      </c>
      <c r="T26" s="3">
        <f t="shared" si="3"/>
        <v>17.258716774480188</v>
      </c>
      <c r="U26" s="3">
        <f t="shared" si="4"/>
        <v>15.98554776836414</v>
      </c>
      <c r="V26" s="3"/>
      <c r="W26" s="3" t="e">
        <f t="shared" si="5"/>
        <v>#DIV/0!</v>
      </c>
      <c r="X26" s="3" t="e">
        <f t="shared" si="6"/>
        <v>#DIV/0!</v>
      </c>
      <c r="Y26" s="3" t="e">
        <f t="shared" si="7"/>
        <v>#DIV/0!</v>
      </c>
      <c r="Z26" s="3"/>
      <c r="AA26" s="3">
        <f t="shared" si="8"/>
        <v>225.29397551020395</v>
      </c>
      <c r="AB26" s="3">
        <f t="shared" si="9"/>
        <v>75.09799183673465</v>
      </c>
      <c r="AC26" s="3">
        <f t="shared" si="10"/>
        <v>12.516331972789107</v>
      </c>
      <c r="AD26" s="3"/>
      <c r="AE26" s="34">
        <f t="shared" si="13"/>
        <v>0.0025</v>
      </c>
      <c r="AF26" s="34">
        <f t="shared" si="11"/>
        <v>0.007656250000000004</v>
      </c>
      <c r="AG26" s="34">
        <f t="shared" si="14"/>
        <v>0.9262303783790788</v>
      </c>
      <c r="AH26" s="34" t="e">
        <f t="shared" si="14"/>
        <v>#DIV/0!</v>
      </c>
      <c r="AI26" s="34">
        <f t="shared" si="14"/>
        <v>0.16666666666666666</v>
      </c>
      <c r="AJ26" s="34">
        <f t="shared" si="14"/>
        <v>0.12238935010153801</v>
      </c>
      <c r="AK26" s="34">
        <f t="shared" si="14"/>
        <v>6</v>
      </c>
      <c r="AL26" s="34">
        <f t="shared" si="14"/>
        <v>2</v>
      </c>
      <c r="AM26" s="34">
        <f t="shared" si="14"/>
        <v>0</v>
      </c>
      <c r="AN26" s="34" t="e">
        <f t="shared" si="14"/>
        <v>#DIV/0!</v>
      </c>
      <c r="AO26" s="34">
        <f t="shared" si="14"/>
        <v>0.09582816666666666</v>
      </c>
      <c r="AP26" s="21">
        <v>22</v>
      </c>
      <c r="AQ26" s="23">
        <v>0.0635</v>
      </c>
      <c r="AR26" s="23">
        <v>0.1272</v>
      </c>
      <c r="AS26" s="23">
        <v>0.6864</v>
      </c>
      <c r="AT26" s="23">
        <v>1.7207</v>
      </c>
      <c r="AU26" s="23">
        <v>2.0796</v>
      </c>
    </row>
    <row r="27" spans="2:47" ht="12.75">
      <c r="B27" s="667" t="s">
        <v>104</v>
      </c>
      <c r="C27" s="668">
        <f>(C24*E3)+(C25*E5)+H3+H4+H5</f>
        <v>479.1408333333333</v>
      </c>
      <c r="D27" s="669" t="s">
        <v>3</v>
      </c>
      <c r="E27" s="670" t="s">
        <v>64</v>
      </c>
      <c r="F27" s="671">
        <f>(C27/G11)</f>
        <v>1.727307610011746</v>
      </c>
      <c r="G27" s="669"/>
      <c r="H27" s="672" t="s">
        <v>100</v>
      </c>
      <c r="I27" s="673">
        <f>(G11/C27)</f>
        <v>0.5789356766587741</v>
      </c>
      <c r="J27" s="10" t="s">
        <v>3</v>
      </c>
      <c r="K27" s="10" t="s">
        <v>3</v>
      </c>
      <c r="L27" s="40" t="s">
        <v>90</v>
      </c>
      <c r="M27" s="496" t="e">
        <f>(M25/M26)</f>
        <v>#DIV/0!</v>
      </c>
      <c r="N27" s="51"/>
      <c r="O27" s="51"/>
      <c r="P27" s="51"/>
      <c r="R27" s="52">
        <f>R26+AE27</f>
        <v>0.09000000000000002</v>
      </c>
      <c r="S27" s="3">
        <f t="shared" si="2"/>
        <v>123.28521002696982</v>
      </c>
      <c r="T27" s="3">
        <f t="shared" si="3"/>
        <v>16.313216086989375</v>
      </c>
      <c r="U27" s="3">
        <f t="shared" si="4"/>
        <v>15.109796308831845</v>
      </c>
      <c r="V27" s="3"/>
      <c r="W27" s="3" t="e">
        <f t="shared" si="5"/>
        <v>#DIV/0!</v>
      </c>
      <c r="X27" s="3" t="e">
        <f t="shared" si="6"/>
        <v>#DIV/0!</v>
      </c>
      <c r="Y27" s="3" t="e">
        <f t="shared" si="7"/>
        <v>#DIV/0!</v>
      </c>
      <c r="Z27" s="3"/>
      <c r="AA27" s="3">
        <f t="shared" si="8"/>
        <v>212.95148148148138</v>
      </c>
      <c r="AB27" s="3">
        <f t="shared" si="9"/>
        <v>70.98382716049379</v>
      </c>
      <c r="AC27" s="3">
        <f t="shared" si="10"/>
        <v>11.830637860082298</v>
      </c>
      <c r="AD27" s="3"/>
      <c r="AE27" s="34">
        <f t="shared" si="13"/>
        <v>0.0025</v>
      </c>
      <c r="AF27" s="34">
        <f t="shared" si="11"/>
        <v>0.008100000000000005</v>
      </c>
      <c r="AG27" s="34">
        <f t="shared" si="14"/>
        <v>0.9262303783790788</v>
      </c>
      <c r="AH27" s="34" t="e">
        <f t="shared" si="14"/>
        <v>#DIV/0!</v>
      </c>
      <c r="AI27" s="34">
        <f t="shared" si="14"/>
        <v>0.16666666666666666</v>
      </c>
      <c r="AJ27" s="34">
        <f t="shared" si="14"/>
        <v>0.12238935010153801</v>
      </c>
      <c r="AK27" s="34">
        <f t="shared" si="14"/>
        <v>6</v>
      </c>
      <c r="AL27" s="34">
        <f t="shared" si="14"/>
        <v>2</v>
      </c>
      <c r="AM27" s="34">
        <f t="shared" si="14"/>
        <v>0</v>
      </c>
      <c r="AN27" s="34" t="e">
        <f t="shared" si="14"/>
        <v>#DIV/0!</v>
      </c>
      <c r="AO27" s="34">
        <f t="shared" si="14"/>
        <v>0.09582816666666666</v>
      </c>
      <c r="AP27" s="21">
        <v>23</v>
      </c>
      <c r="AQ27" s="23">
        <v>0.0634</v>
      </c>
      <c r="AR27" s="23">
        <v>0.1271</v>
      </c>
      <c r="AS27" s="23">
        <v>0.6858</v>
      </c>
      <c r="AT27" s="23">
        <v>1.7171</v>
      </c>
      <c r="AU27" s="23">
        <v>2.0739</v>
      </c>
    </row>
    <row r="28" spans="2:47" ht="13.5" thickBot="1">
      <c r="B28" s="10" t="s">
        <v>3</v>
      </c>
      <c r="D28" s="11" t="s">
        <v>3</v>
      </c>
      <c r="F28" s="10" t="s">
        <v>3</v>
      </c>
      <c r="H28" s="10" t="s">
        <v>3</v>
      </c>
      <c r="I28" s="10" t="s">
        <v>3</v>
      </c>
      <c r="J28" s="10" t="s">
        <v>3</v>
      </c>
      <c r="K28" s="10" t="s">
        <v>3</v>
      </c>
      <c r="L28" s="40" t="s">
        <v>91</v>
      </c>
      <c r="M28" s="496" t="e">
        <f>G11/G92</f>
        <v>#DIV/0!</v>
      </c>
      <c r="N28" s="51"/>
      <c r="O28" s="51"/>
      <c r="P28" s="51"/>
      <c r="R28" s="3" t="s">
        <v>65</v>
      </c>
      <c r="S28" s="3" t="s">
        <v>65</v>
      </c>
      <c r="T28" s="3" t="s">
        <v>65</v>
      </c>
      <c r="U28" s="3" t="s">
        <v>65</v>
      </c>
      <c r="V28" s="3" t="s">
        <v>65</v>
      </c>
      <c r="W28" s="3" t="s">
        <v>65</v>
      </c>
      <c r="X28" s="3" t="s">
        <v>65</v>
      </c>
      <c r="Y28" s="3" t="s">
        <v>65</v>
      </c>
      <c r="Z28" s="3" t="s">
        <v>65</v>
      </c>
      <c r="AA28" s="3" t="s">
        <v>65</v>
      </c>
      <c r="AB28" s="3" t="s">
        <v>65</v>
      </c>
      <c r="AC28" s="3" t="s">
        <v>65</v>
      </c>
      <c r="AD28" s="3" t="s">
        <v>65</v>
      </c>
      <c r="AE28" s="34" t="s">
        <v>65</v>
      </c>
      <c r="AF28" s="34"/>
      <c r="AG28" s="34"/>
      <c r="AH28" s="34"/>
      <c r="AI28" s="34"/>
      <c r="AJ28" s="34"/>
      <c r="AK28" s="34"/>
      <c r="AL28" s="34"/>
      <c r="AM28" s="34"/>
      <c r="AN28" s="34"/>
      <c r="AO28" s="34"/>
      <c r="AP28" s="21">
        <v>24</v>
      </c>
      <c r="AQ28" s="23">
        <v>0.0634</v>
      </c>
      <c r="AR28" s="23">
        <v>0.1271</v>
      </c>
      <c r="AS28" s="23">
        <v>0.6853</v>
      </c>
      <c r="AT28" s="23">
        <v>1.7139</v>
      </c>
      <c r="AU28" s="23">
        <v>2.0687</v>
      </c>
    </row>
    <row r="29" spans="1:47" ht="13.5" thickBot="1">
      <c r="A29" s="686">
        <v>4</v>
      </c>
      <c r="B29" s="223" t="s">
        <v>66</v>
      </c>
      <c r="C29" s="224"/>
      <c r="D29" s="224"/>
      <c r="E29" s="224"/>
      <c r="F29" s="225" t="s">
        <v>125</v>
      </c>
      <c r="G29" s="222"/>
      <c r="I29" s="232" t="s">
        <v>126</v>
      </c>
      <c r="J29" s="233"/>
      <c r="K29" s="674" t="s">
        <v>142</v>
      </c>
      <c r="L29" s="40" t="s">
        <v>35</v>
      </c>
      <c r="M29" s="497" t="e">
        <f>+F123</f>
        <v>#DIV/0!</v>
      </c>
      <c r="N29" s="51"/>
      <c r="O29" s="51"/>
      <c r="P29" s="51"/>
      <c r="R29" s="29" t="s">
        <v>67</v>
      </c>
      <c r="S29" s="12"/>
      <c r="T29" s="12"/>
      <c r="U29" s="12"/>
      <c r="V29" s="11"/>
      <c r="W29" s="11"/>
      <c r="X29" s="11"/>
      <c r="Y29" s="11"/>
      <c r="Z29" s="11"/>
      <c r="AA29" s="11"/>
      <c r="AB29" s="11"/>
      <c r="AC29" s="11"/>
      <c r="AD29" s="11"/>
      <c r="AE29" s="34"/>
      <c r="AF29" s="34"/>
      <c r="AG29" s="34"/>
      <c r="AH29" s="34"/>
      <c r="AI29" s="34"/>
      <c r="AJ29" s="34"/>
      <c r="AK29" s="34"/>
      <c r="AL29" s="34"/>
      <c r="AM29" s="34"/>
      <c r="AN29" s="34"/>
      <c r="AO29" s="34"/>
      <c r="AP29" s="21">
        <v>25</v>
      </c>
      <c r="AQ29" s="23">
        <v>0.0634</v>
      </c>
      <c r="AR29" s="23">
        <v>0.127</v>
      </c>
      <c r="AS29" s="23">
        <v>0.6848</v>
      </c>
      <c r="AT29" s="23">
        <v>1.7109</v>
      </c>
      <c r="AU29" s="23">
        <v>2.0639</v>
      </c>
    </row>
    <row r="30" spans="2:47" ht="13.5" thickTop="1">
      <c r="B30" s="193" t="s">
        <v>202</v>
      </c>
      <c r="C30" s="226">
        <v>0.95</v>
      </c>
      <c r="D30" s="71" t="s">
        <v>68</v>
      </c>
      <c r="E30" s="227">
        <f>+D9</f>
        <v>0.06</v>
      </c>
      <c r="F30" s="48" t="s">
        <v>69</v>
      </c>
      <c r="G30" s="239" t="s">
        <v>127</v>
      </c>
      <c r="I30" s="234" t="s">
        <v>189</v>
      </c>
      <c r="J30" s="235">
        <f>E11</f>
        <v>0.05145181397622624</v>
      </c>
      <c r="K30" s="578">
        <f>C11</f>
        <v>33.99704169487167</v>
      </c>
      <c r="L30" s="51"/>
      <c r="M30" s="51"/>
      <c r="N30" s="51"/>
      <c r="O30" s="51"/>
      <c r="P30" s="51"/>
      <c r="R30" s="13" t="str">
        <f aca="true" t="shared" si="26" ref="R30:R56">R1</f>
        <v>Other SE%</v>
      </c>
      <c r="S30" s="14"/>
      <c r="T30" s="15" t="str">
        <f aca="true" t="shared" si="27" ref="T30:T56">T1</f>
        <v>Start @</v>
      </c>
      <c r="U30" s="28">
        <v>7</v>
      </c>
      <c r="W30" s="16" t="str">
        <f aca="true" t="shared" si="28" ref="W30:X56">W1</f>
        <v>Increment</v>
      </c>
      <c r="X30" s="28">
        <f t="shared" si="28"/>
        <v>0.0025</v>
      </c>
      <c r="AP30" s="21">
        <v>26</v>
      </c>
      <c r="AQ30" s="23">
        <v>0.0633</v>
      </c>
      <c r="AR30" s="23">
        <v>0.1269</v>
      </c>
      <c r="AS30" s="23">
        <v>0.6844</v>
      </c>
      <c r="AT30" s="23">
        <v>1.7081</v>
      </c>
      <c r="AU30" s="23">
        <v>2.0595</v>
      </c>
    </row>
    <row r="31" spans="2:47" ht="13.5" thickBot="1">
      <c r="B31" s="193" t="s">
        <v>70</v>
      </c>
      <c r="C31" s="228">
        <v>123</v>
      </c>
      <c r="D31" s="71" t="s">
        <v>111</v>
      </c>
      <c r="E31" s="179">
        <f>IF(E30&gt;0,(E30*C32),"")</f>
        <v>0.11877599122607668</v>
      </c>
      <c r="F31" s="49">
        <v>0.05</v>
      </c>
      <c r="G31" s="229">
        <f>IF(E30&gt;0,TINV(0.95,$C$31-1)*E30,"")</f>
        <v>0.0037701548273500166</v>
      </c>
      <c r="I31" s="234" t="s">
        <v>190</v>
      </c>
      <c r="J31" s="235">
        <f>E12</f>
        <v>0.030866014296565887</v>
      </c>
      <c r="K31" s="579">
        <f>C12</f>
        <v>36.70473619572611</v>
      </c>
      <c r="L31" s="51"/>
      <c r="M31" s="51"/>
      <c r="N31" s="51"/>
      <c r="O31" s="51"/>
      <c r="P31" s="51"/>
      <c r="R31" s="17" t="str">
        <f t="shared" si="26"/>
        <v>Options</v>
      </c>
      <c r="S31" s="18"/>
      <c r="T31" s="9" t="str">
        <f t="shared" si="27"/>
        <v>Optimal</v>
      </c>
      <c r="U31" s="12"/>
      <c r="V31" s="19" t="str">
        <f>V2</f>
        <v> </v>
      </c>
      <c r="W31" s="695" t="str">
        <f t="shared" si="28"/>
        <v> </v>
      </c>
      <c r="X31" s="693" t="str">
        <f t="shared" si="28"/>
        <v>Other Options</v>
      </c>
      <c r="Y31" s="694"/>
      <c r="Z31" s="11"/>
      <c r="AB31" s="9" t="str">
        <f>AB2</f>
        <v>Full Measure</v>
      </c>
      <c r="AC31" s="11"/>
      <c r="AP31" s="21">
        <v>27</v>
      </c>
      <c r="AQ31" s="23">
        <v>0.0633</v>
      </c>
      <c r="AR31" s="23">
        <v>0.1269</v>
      </c>
      <c r="AS31" s="23">
        <v>0.684</v>
      </c>
      <c r="AT31" s="23">
        <v>1.7056</v>
      </c>
      <c r="AU31" s="23">
        <v>2.0555</v>
      </c>
    </row>
    <row r="32" spans="2:47" ht="13.5" thickBot="1">
      <c r="B32" s="193" t="s">
        <v>107</v>
      </c>
      <c r="C32" s="645">
        <f>TINV(1-C30,C31-1)</f>
        <v>1.9795998537679447</v>
      </c>
      <c r="D32" s="68"/>
      <c r="E32" s="68"/>
      <c r="F32" s="49">
        <v>0.5</v>
      </c>
      <c r="G32" s="229">
        <f>IF(E30&gt;0,TINV(0.5,$C$31-1)*E30,"")</f>
        <v>0.040590361794727185</v>
      </c>
      <c r="I32" s="234" t="s">
        <v>191</v>
      </c>
      <c r="J32" s="236">
        <f>D9</f>
        <v>0.06</v>
      </c>
      <c r="L32" s="51"/>
      <c r="M32" s="51"/>
      <c r="N32" s="51"/>
      <c r="O32" s="51"/>
      <c r="P32" s="51"/>
      <c r="R32" s="15" t="str">
        <f t="shared" si="26"/>
        <v>SE%</v>
      </c>
      <c r="S32" s="9" t="str">
        <f aca="true" t="shared" si="29" ref="S32:S56">S3</f>
        <v>COST</v>
      </c>
      <c r="T32" s="9" t="str">
        <f t="shared" si="27"/>
        <v>n*BAR</v>
      </c>
      <c r="U32" s="9" t="str">
        <f aca="true" t="shared" si="30" ref="U32:U56">U3</f>
        <v>nTC</v>
      </c>
      <c r="V32" s="11"/>
      <c r="W32" s="9" t="str">
        <f t="shared" si="28"/>
        <v>COST</v>
      </c>
      <c r="X32" s="9" t="str">
        <f t="shared" si="28"/>
        <v>n*BAR</v>
      </c>
      <c r="Y32" s="9" t="str">
        <f aca="true" t="shared" si="31" ref="Y32:Y56">Y3</f>
        <v>nTC</v>
      </c>
      <c r="Z32" s="11"/>
      <c r="AA32" s="9" t="str">
        <f aca="true" t="shared" si="32" ref="AA32:AC47">AA3</f>
        <v>COST</v>
      </c>
      <c r="AB32" s="9" t="str">
        <f>AB3</f>
        <v>n*BAR</v>
      </c>
      <c r="AC32" s="9" t="str">
        <f>AC3</f>
        <v>nTC</v>
      </c>
      <c r="AP32" s="21">
        <v>28</v>
      </c>
      <c r="AQ32" s="23">
        <v>0.0633</v>
      </c>
      <c r="AR32" s="23">
        <v>0.1268</v>
      </c>
      <c r="AS32" s="23">
        <v>0.6837</v>
      </c>
      <c r="AT32" s="23">
        <v>1.7033</v>
      </c>
      <c r="AU32" s="23">
        <v>2.0518</v>
      </c>
    </row>
    <row r="33" spans="2:47" ht="13.5" thickBot="1">
      <c r="B33" s="72"/>
      <c r="C33" s="73" t="s">
        <v>3</v>
      </c>
      <c r="D33" s="707" t="s">
        <v>137</v>
      </c>
      <c r="E33" s="240"/>
      <c r="F33" s="230">
        <v>0.95</v>
      </c>
      <c r="G33" s="231">
        <f>IF(E30&gt;0,TINV(0.05,$C$31-1)*E30,"")</f>
        <v>0.11877599122607668</v>
      </c>
      <c r="I33" s="237"/>
      <c r="J33" s="238"/>
      <c r="L33" s="51"/>
      <c r="M33" s="51"/>
      <c r="N33" s="51"/>
      <c r="O33" s="51"/>
      <c r="P33" s="51"/>
      <c r="R33" s="27">
        <f t="shared" si="26"/>
        <v>0.03249999999999997</v>
      </c>
      <c r="S33" s="11">
        <f t="shared" si="29"/>
        <v>945.4297763014986</v>
      </c>
      <c r="T33" s="11">
        <f t="shared" si="27"/>
        <v>125.10016596886555</v>
      </c>
      <c r="U33" s="11">
        <f t="shared" si="30"/>
        <v>115.8715740606279</v>
      </c>
      <c r="V33" s="11"/>
      <c r="W33" s="11" t="e">
        <f t="shared" si="28"/>
        <v>#DIV/0!</v>
      </c>
      <c r="X33" s="11" t="e">
        <f t="shared" si="28"/>
        <v>#DIV/0!</v>
      </c>
      <c r="Y33" s="11" t="e">
        <f t="shared" si="31"/>
        <v>#DIV/0!</v>
      </c>
      <c r="Z33" s="11"/>
      <c r="AA33" s="11">
        <f t="shared" si="32"/>
        <v>1633.0480473372809</v>
      </c>
      <c r="AB33" s="11">
        <f>AB4</f>
        <v>544.3493491124269</v>
      </c>
      <c r="AC33" s="11">
        <f>AC4</f>
        <v>90.72489151873782</v>
      </c>
      <c r="AP33" s="21">
        <v>29</v>
      </c>
      <c r="AQ33" s="23">
        <v>0.0633</v>
      </c>
      <c r="AR33" s="23">
        <v>0.1268</v>
      </c>
      <c r="AS33" s="23">
        <v>0.6834</v>
      </c>
      <c r="AT33" s="23">
        <v>1.7011</v>
      </c>
      <c r="AU33" s="23">
        <v>2.0484</v>
      </c>
    </row>
    <row r="34" spans="12:47" ht="13.5" thickBot="1">
      <c r="L34" s="51"/>
      <c r="M34" s="51"/>
      <c r="N34" s="51"/>
      <c r="O34" s="51"/>
      <c r="P34" s="51"/>
      <c r="R34" s="27">
        <f t="shared" si="26"/>
        <v>0.034999999999999976</v>
      </c>
      <c r="S34" s="11">
        <f t="shared" si="29"/>
        <v>815.1920009946591</v>
      </c>
      <c r="T34" s="11">
        <f t="shared" si="27"/>
        <v>107.86697984050137</v>
      </c>
      <c r="U34" s="11">
        <f t="shared" si="30"/>
        <v>99.90967355227606</v>
      </c>
      <c r="V34" s="11"/>
      <c r="W34" s="11" t="e">
        <f t="shared" si="28"/>
        <v>#DIV/0!</v>
      </c>
      <c r="X34" s="11" t="e">
        <f t="shared" si="28"/>
        <v>#DIV/0!</v>
      </c>
      <c r="Y34" s="11" t="e">
        <f t="shared" si="31"/>
        <v>#DIV/0!</v>
      </c>
      <c r="Z34" s="11"/>
      <c r="AA34" s="11">
        <f t="shared" si="32"/>
        <v>1408.0873469387775</v>
      </c>
      <c r="AB34" s="11">
        <f t="shared" si="32"/>
        <v>469.3624489795925</v>
      </c>
      <c r="AC34" s="11">
        <f t="shared" si="32"/>
        <v>78.22707482993208</v>
      </c>
      <c r="AP34" s="21">
        <v>30</v>
      </c>
      <c r="AQ34" s="23">
        <v>0.0633</v>
      </c>
      <c r="AR34" s="23">
        <v>0.1268</v>
      </c>
      <c r="AS34" s="23">
        <v>0.683</v>
      </c>
      <c r="AT34" s="23">
        <v>1.6991</v>
      </c>
      <c r="AU34" s="23">
        <v>2.0452</v>
      </c>
    </row>
    <row r="35" spans="1:47" ht="13.5" thickBot="1">
      <c r="A35" s="686">
        <v>5</v>
      </c>
      <c r="B35" s="98"/>
      <c r="C35" s="99"/>
      <c r="D35" s="99"/>
      <c r="E35" s="100" t="s">
        <v>161</v>
      </c>
      <c r="F35" s="99"/>
      <c r="G35" s="99"/>
      <c r="H35" s="99"/>
      <c r="I35" s="99"/>
      <c r="J35" s="101"/>
      <c r="L35" s="51"/>
      <c r="M35" s="51"/>
      <c r="N35" s="51"/>
      <c r="O35" s="51"/>
      <c r="P35" s="51"/>
      <c r="R35" s="27">
        <f t="shared" si="26"/>
        <v>0.03749999999999998</v>
      </c>
      <c r="S35" s="11">
        <f t="shared" si="29"/>
        <v>710.1228097553474</v>
      </c>
      <c r="T35" s="11">
        <f t="shared" si="27"/>
        <v>93.96412466105895</v>
      </c>
      <c r="U35" s="11">
        <f t="shared" si="30"/>
        <v>87.03242673887156</v>
      </c>
      <c r="V35" s="11"/>
      <c r="W35" s="11" t="e">
        <f t="shared" si="28"/>
        <v>#DIV/0!</v>
      </c>
      <c r="X35" s="11" t="e">
        <f t="shared" si="28"/>
        <v>#DIV/0!</v>
      </c>
      <c r="Y35" s="11" t="e">
        <f t="shared" si="31"/>
        <v>#DIV/0!</v>
      </c>
      <c r="Z35" s="11"/>
      <c r="AA35" s="11">
        <f t="shared" si="32"/>
        <v>1226.6005333333346</v>
      </c>
      <c r="AB35" s="11">
        <f t="shared" si="32"/>
        <v>408.8668444444449</v>
      </c>
      <c r="AC35" s="11">
        <f t="shared" si="32"/>
        <v>68.14447407407414</v>
      </c>
      <c r="AP35" s="21">
        <v>31</v>
      </c>
      <c r="AQ35" s="23">
        <v>0.0632</v>
      </c>
      <c r="AR35" s="23">
        <v>0.1267</v>
      </c>
      <c r="AS35" s="23">
        <v>0.6828</v>
      </c>
      <c r="AT35" s="23">
        <v>1.6973</v>
      </c>
      <c r="AU35" s="23">
        <v>2.0423</v>
      </c>
    </row>
    <row r="36" spans="2:47" ht="14.25" thickBot="1" thickTop="1">
      <c r="B36" s="91"/>
      <c r="C36" s="41"/>
      <c r="D36" s="41"/>
      <c r="E36" s="41"/>
      <c r="F36" s="109" t="s">
        <v>181</v>
      </c>
      <c r="G36" s="41"/>
      <c r="H36" s="634" t="s">
        <v>135</v>
      </c>
      <c r="I36" s="78">
        <f>J36</f>
        <v>200</v>
      </c>
      <c r="J36" s="201">
        <v>200</v>
      </c>
      <c r="K36" s="10" t="s">
        <v>3</v>
      </c>
      <c r="L36" s="51"/>
      <c r="M36" s="51"/>
      <c r="N36" s="51"/>
      <c r="O36" s="51"/>
      <c r="P36" s="51"/>
      <c r="R36" s="27">
        <f t="shared" si="26"/>
        <v>0.03999999999999998</v>
      </c>
      <c r="S36" s="11">
        <f t="shared" si="29"/>
        <v>624.1313757615358</v>
      </c>
      <c r="T36" s="11">
        <f t="shared" si="27"/>
        <v>82.58565644038384</v>
      </c>
      <c r="U36" s="11">
        <f t="shared" si="30"/>
        <v>76.49334381346134</v>
      </c>
      <c r="V36" s="11"/>
      <c r="W36" s="11" t="e">
        <f t="shared" si="28"/>
        <v>#DIV/0!</v>
      </c>
      <c r="X36" s="11" t="e">
        <f t="shared" si="28"/>
        <v>#DIV/0!</v>
      </c>
      <c r="Y36" s="11" t="e">
        <f t="shared" si="31"/>
        <v>#DIV/0!</v>
      </c>
      <c r="Z36" s="11"/>
      <c r="AA36" s="11">
        <f t="shared" si="32"/>
        <v>1078.0668750000011</v>
      </c>
      <c r="AB36" s="11">
        <f t="shared" si="32"/>
        <v>359.3556250000004</v>
      </c>
      <c r="AC36" s="11">
        <f t="shared" si="32"/>
        <v>59.89260416666673</v>
      </c>
      <c r="AP36" s="21">
        <v>41</v>
      </c>
      <c r="AQ36" s="23">
        <v>0.0629</v>
      </c>
      <c r="AR36" s="23">
        <v>0.1262</v>
      </c>
      <c r="AS36" s="23">
        <v>0.6804</v>
      </c>
      <c r="AT36" s="23">
        <v>1.6842</v>
      </c>
      <c r="AU36" s="23">
        <v>2.0215</v>
      </c>
    </row>
    <row r="37" spans="2:47" ht="13.5" thickBot="1">
      <c r="B37" s="103" t="s">
        <v>169</v>
      </c>
      <c r="C37" s="50"/>
      <c r="D37" s="50"/>
      <c r="E37" s="50"/>
      <c r="F37" s="62" t="s">
        <v>120</v>
      </c>
      <c r="G37" s="62"/>
      <c r="H37" s="635" t="s">
        <v>172</v>
      </c>
      <c r="I37" s="102">
        <v>8.5</v>
      </c>
      <c r="J37" s="203">
        <f>IF(J36="","",((2*J38)/SQRT((43560/J36)-1))*12)</f>
        <v>3.2599549495449676</v>
      </c>
      <c r="L37" s="51"/>
      <c r="M37" s="51"/>
      <c r="N37" s="51"/>
      <c r="O37" s="51"/>
      <c r="P37" s="51"/>
      <c r="R37" s="27">
        <f t="shared" si="26"/>
        <v>0.04249999999999998</v>
      </c>
      <c r="S37" s="11">
        <f t="shared" si="29"/>
        <v>552.863779221291</v>
      </c>
      <c r="T37" s="11">
        <f t="shared" si="27"/>
        <v>73.15546037625695</v>
      </c>
      <c r="U37" s="11">
        <f t="shared" si="30"/>
        <v>67.75880974479618</v>
      </c>
      <c r="V37" s="11"/>
      <c r="W37" s="11" t="e">
        <f t="shared" si="28"/>
        <v>#DIV/0!</v>
      </c>
      <c r="X37" s="11" t="e">
        <f t="shared" si="28"/>
        <v>#DIV/0!</v>
      </c>
      <c r="Y37" s="11" t="e">
        <f t="shared" si="31"/>
        <v>#DIV/0!</v>
      </c>
      <c r="Z37" s="11"/>
      <c r="AA37" s="11">
        <f t="shared" si="32"/>
        <v>954.9658131487898</v>
      </c>
      <c r="AB37" s="11">
        <f t="shared" si="32"/>
        <v>318.3219377162633</v>
      </c>
      <c r="AC37" s="11">
        <f t="shared" si="32"/>
        <v>53.053656286043875</v>
      </c>
      <c r="AP37" s="21">
        <v>61</v>
      </c>
      <c r="AQ37" s="23">
        <v>0.0628</v>
      </c>
      <c r="AR37" s="23">
        <v>0.1259</v>
      </c>
      <c r="AS37" s="23">
        <v>0.6783</v>
      </c>
      <c r="AT37" s="23">
        <v>1.671</v>
      </c>
      <c r="AU37" s="23">
        <v>2.0008</v>
      </c>
    </row>
    <row r="38" spans="2:47" ht="13.5" thickBot="1">
      <c r="B38" s="92"/>
      <c r="C38" s="61" t="s">
        <v>158</v>
      </c>
      <c r="D38" s="139">
        <v>8.5</v>
      </c>
      <c r="E38" s="50" t="s">
        <v>114</v>
      </c>
      <c r="F38" s="140">
        <f>43560/((D39*2/(D38/12))^2+D40)</f>
        <v>151.24818281210577</v>
      </c>
      <c r="G38" s="50" t="s">
        <v>71</v>
      </c>
      <c r="H38" s="636" t="s">
        <v>240</v>
      </c>
      <c r="I38" s="143">
        <f>IF(I36&gt;0,(SQRT((43560/I36)-1)*(I37))/2/12,"")</f>
        <v>5.214795990470022</v>
      </c>
      <c r="J38" s="202">
        <v>2</v>
      </c>
      <c r="K38" s="11"/>
      <c r="L38" s="51"/>
      <c r="R38" s="27">
        <f t="shared" si="26"/>
        <v>0.044999999999999984</v>
      </c>
      <c r="S38" s="11">
        <f t="shared" si="29"/>
        <v>493.14084010787997</v>
      </c>
      <c r="T38" s="11">
        <f t="shared" si="27"/>
        <v>65.25286434795758</v>
      </c>
      <c r="U38" s="11">
        <f t="shared" si="30"/>
        <v>60.43918523532746</v>
      </c>
      <c r="V38" s="11"/>
      <c r="W38" s="11" t="e">
        <f t="shared" si="28"/>
        <v>#DIV/0!</v>
      </c>
      <c r="X38" s="11" t="e">
        <f t="shared" si="28"/>
        <v>#DIV/0!</v>
      </c>
      <c r="Y38" s="11" t="e">
        <f t="shared" si="31"/>
        <v>#DIV/0!</v>
      </c>
      <c r="Z38" s="11"/>
      <c r="AA38" s="11">
        <f t="shared" si="32"/>
        <v>851.8059259259264</v>
      </c>
      <c r="AB38" s="11">
        <f t="shared" si="32"/>
        <v>283.9353086419755</v>
      </c>
      <c r="AC38" s="11">
        <f t="shared" si="32"/>
        <v>47.32255144032925</v>
      </c>
      <c r="AP38" s="21">
        <v>121</v>
      </c>
      <c r="AQ38" s="23">
        <v>0.0627</v>
      </c>
      <c r="AR38" s="23">
        <v>0.1256</v>
      </c>
      <c r="AS38" s="23">
        <v>0.6762</v>
      </c>
      <c r="AT38" s="23">
        <v>1.658</v>
      </c>
      <c r="AU38" s="23">
        <v>1.9804</v>
      </c>
    </row>
    <row r="39" spans="2:47" ht="12.75">
      <c r="B39" s="92"/>
      <c r="C39" s="61" t="s">
        <v>159</v>
      </c>
      <c r="D39" s="139">
        <v>6</v>
      </c>
      <c r="E39" s="50" t="s">
        <v>75</v>
      </c>
      <c r="F39" s="50" t="s">
        <v>3</v>
      </c>
      <c r="G39" s="50" t="s">
        <v>3</v>
      </c>
      <c r="H39" s="50" t="s">
        <v>3</v>
      </c>
      <c r="I39" s="50"/>
      <c r="J39" s="709"/>
      <c r="K39" s="11" t="s">
        <v>3</v>
      </c>
      <c r="L39" s="51"/>
      <c r="R39" s="27">
        <f t="shared" si="26"/>
        <v>0.04749999999999999</v>
      </c>
      <c r="S39" s="11">
        <f t="shared" si="29"/>
        <v>442.59731909959294</v>
      </c>
      <c r="T39" s="11">
        <f t="shared" si="27"/>
        <v>58.564897641934216</v>
      </c>
      <c r="U39" s="11">
        <f t="shared" si="30"/>
        <v>54.24458730262075</v>
      </c>
      <c r="V39" s="11"/>
      <c r="W39" s="11" t="e">
        <f t="shared" si="28"/>
        <v>#DIV/0!</v>
      </c>
      <c r="X39" s="11" t="e">
        <f t="shared" si="28"/>
        <v>#DIV/0!</v>
      </c>
      <c r="Y39" s="11" t="e">
        <f t="shared" si="31"/>
        <v>#DIV/0!</v>
      </c>
      <c r="Z39" s="11"/>
      <c r="AA39" s="11">
        <f t="shared" si="32"/>
        <v>764.5017174515239</v>
      </c>
      <c r="AB39" s="11">
        <f t="shared" si="32"/>
        <v>254.83390581717464</v>
      </c>
      <c r="AC39" s="11">
        <f t="shared" si="32"/>
        <v>42.47231763619577</v>
      </c>
      <c r="AP39" s="21" t="s">
        <v>73</v>
      </c>
      <c r="AQ39" s="23">
        <v>0.0627</v>
      </c>
      <c r="AR39" s="23">
        <v>0.1257</v>
      </c>
      <c r="AS39" s="23">
        <v>0.6745</v>
      </c>
      <c r="AT39" s="23">
        <v>1.6449</v>
      </c>
      <c r="AU39" s="23">
        <v>1.96</v>
      </c>
    </row>
    <row r="40" spans="2:47" ht="12.75">
      <c r="B40" s="93"/>
      <c r="C40" s="61" t="s">
        <v>154</v>
      </c>
      <c r="D40" s="74">
        <v>1</v>
      </c>
      <c r="E40" s="50"/>
      <c r="F40" s="50"/>
      <c r="G40" s="50"/>
      <c r="H40" s="50"/>
      <c r="I40" s="50"/>
      <c r="J40" s="94"/>
      <c r="K40" s="708" t="s">
        <v>160</v>
      </c>
      <c r="L40" s="675"/>
      <c r="M40" s="675"/>
      <c r="N40" s="676"/>
      <c r="R40" s="27">
        <f t="shared" si="26"/>
        <v>0.04999999999999999</v>
      </c>
      <c r="S40" s="11">
        <f t="shared" si="29"/>
        <v>399.4440804873826</v>
      </c>
      <c r="T40" s="11">
        <f t="shared" si="27"/>
        <v>52.854820121845634</v>
      </c>
      <c r="U40" s="11">
        <f t="shared" si="30"/>
        <v>48.95574004061523</v>
      </c>
      <c r="V40" s="11"/>
      <c r="W40" s="11" t="e">
        <f t="shared" si="28"/>
        <v>#DIV/0!</v>
      </c>
      <c r="X40" s="11" t="e">
        <f t="shared" si="28"/>
        <v>#DIV/0!</v>
      </c>
      <c r="Y40" s="11" t="e">
        <f t="shared" si="31"/>
        <v>#DIV/0!</v>
      </c>
      <c r="Z40" s="11"/>
      <c r="AA40" s="11">
        <f t="shared" si="32"/>
        <v>689.9628000000004</v>
      </c>
      <c r="AB40" s="11">
        <f t="shared" si="32"/>
        <v>229.98760000000013</v>
      </c>
      <c r="AC40" s="11">
        <f t="shared" si="32"/>
        <v>38.331266666666686</v>
      </c>
      <c r="AP40" s="21"/>
      <c r="AQ40" s="23"/>
      <c r="AR40" s="23"/>
      <c r="AS40" s="23"/>
      <c r="AT40" s="23"/>
      <c r="AU40" s="23"/>
    </row>
    <row r="41" spans="2:29" ht="12.75">
      <c r="B41" s="93" t="s">
        <v>167</v>
      </c>
      <c r="C41" s="50"/>
      <c r="D41" s="50"/>
      <c r="E41" s="50"/>
      <c r="F41" s="50"/>
      <c r="G41" s="61" t="s">
        <v>221</v>
      </c>
      <c r="H41" s="144">
        <f>SQRT((D$39*12*2/D$38)^2+D$40)/12/2</f>
        <v>0.7071110289798078</v>
      </c>
      <c r="I41" s="50" t="s">
        <v>165</v>
      </c>
      <c r="J41" s="94"/>
      <c r="K41" s="710" t="s">
        <v>254</v>
      </c>
      <c r="L41" s="678"/>
      <c r="M41" s="678"/>
      <c r="N41" s="679"/>
      <c r="R41" s="27">
        <f t="shared" si="26"/>
        <v>0.05249999999999999</v>
      </c>
      <c r="S41" s="11">
        <f t="shared" si="29"/>
        <v>362.30755599762585</v>
      </c>
      <c r="T41" s="11">
        <f t="shared" si="27"/>
        <v>47.94087992911167</v>
      </c>
      <c r="U41" s="11">
        <f t="shared" si="30"/>
        <v>44.40429935656709</v>
      </c>
      <c r="V41" s="11"/>
      <c r="W41" s="11" t="e">
        <f t="shared" si="28"/>
        <v>#DIV/0!</v>
      </c>
      <c r="X41" s="11" t="e">
        <f t="shared" si="28"/>
        <v>#DIV/0!</v>
      </c>
      <c r="Y41" s="11" t="e">
        <f t="shared" si="31"/>
        <v>#DIV/0!</v>
      </c>
      <c r="Z41" s="11"/>
      <c r="AA41" s="11">
        <f t="shared" si="32"/>
        <v>625.816598639456</v>
      </c>
      <c r="AB41" s="11">
        <f t="shared" si="32"/>
        <v>208.60553287981867</v>
      </c>
      <c r="AC41" s="11">
        <f t="shared" si="32"/>
        <v>34.76758881330311</v>
      </c>
    </row>
    <row r="42" spans="2:29" ht="13.5" thickBot="1">
      <c r="B42" s="76" t="s">
        <v>3</v>
      </c>
      <c r="C42" s="50"/>
      <c r="D42" s="50"/>
      <c r="E42" s="50"/>
      <c r="F42" s="50"/>
      <c r="G42" s="61" t="s">
        <v>171</v>
      </c>
      <c r="H42" s="145">
        <f>H41-(1/24)</f>
        <v>0.6654443623131412</v>
      </c>
      <c r="I42" s="50" t="s">
        <v>165</v>
      </c>
      <c r="J42" s="94"/>
      <c r="K42" s="711" t="s">
        <v>251</v>
      </c>
      <c r="L42" s="680"/>
      <c r="M42" s="680"/>
      <c r="N42" s="681"/>
      <c r="R42" s="27">
        <f t="shared" si="26"/>
        <v>0.05499999999999999</v>
      </c>
      <c r="S42" s="11">
        <f t="shared" si="29"/>
        <v>330.11907478296075</v>
      </c>
      <c r="T42" s="11">
        <f t="shared" si="27"/>
        <v>43.68166952218646</v>
      </c>
      <c r="U42" s="11">
        <f t="shared" si="30"/>
        <v>40.45928928976464</v>
      </c>
      <c r="V42" s="11"/>
      <c r="W42" s="11" t="e">
        <f t="shared" si="28"/>
        <v>#DIV/0!</v>
      </c>
      <c r="X42" s="11" t="e">
        <f t="shared" si="28"/>
        <v>#DIV/0!</v>
      </c>
      <c r="Y42" s="11" t="e">
        <f t="shared" si="31"/>
        <v>#DIV/0!</v>
      </c>
      <c r="Z42" s="11"/>
      <c r="AA42" s="11">
        <f t="shared" si="32"/>
        <v>570.2171900826447</v>
      </c>
      <c r="AB42" s="11">
        <f t="shared" si="32"/>
        <v>190.07239669421492</v>
      </c>
      <c r="AC42" s="11">
        <f t="shared" si="32"/>
        <v>31.678732782369153</v>
      </c>
    </row>
    <row r="43" spans="2:29" ht="12.75">
      <c r="B43" s="75" t="s">
        <v>131</v>
      </c>
      <c r="C43" s="123">
        <f>H41</f>
        <v>0.7071110289798078</v>
      </c>
      <c r="D43" s="104" t="s">
        <v>133</v>
      </c>
      <c r="E43" s="105" t="s">
        <v>132</v>
      </c>
      <c r="F43" s="62"/>
      <c r="G43" s="107" t="s">
        <v>192</v>
      </c>
      <c r="H43" s="242">
        <v>24</v>
      </c>
      <c r="I43" s="108" t="s">
        <v>74</v>
      </c>
      <c r="J43" s="94"/>
      <c r="O43"/>
      <c r="R43" s="27">
        <f t="shared" si="26"/>
        <v>0.057499999999999996</v>
      </c>
      <c r="S43" s="11">
        <f t="shared" si="29"/>
        <v>302.03711189972216</v>
      </c>
      <c r="T43" s="11">
        <f t="shared" si="27"/>
        <v>39.965837521244325</v>
      </c>
      <c r="U43" s="11">
        <f t="shared" si="30"/>
        <v>37.01757280953892</v>
      </c>
      <c r="V43" s="11"/>
      <c r="W43" s="11" t="e">
        <f t="shared" si="28"/>
        <v>#DIV/0!</v>
      </c>
      <c r="X43" s="11" t="e">
        <f t="shared" si="28"/>
        <v>#DIV/0!</v>
      </c>
      <c r="Y43" s="11" t="e">
        <f t="shared" si="31"/>
        <v>#DIV/0!</v>
      </c>
      <c r="Z43" s="11"/>
      <c r="AA43" s="11">
        <f t="shared" si="32"/>
        <v>521.7110018903593</v>
      </c>
      <c r="AB43" s="11">
        <f t="shared" si="32"/>
        <v>173.90366729678644</v>
      </c>
      <c r="AC43" s="11">
        <f t="shared" si="32"/>
        <v>28.983944549464404</v>
      </c>
    </row>
    <row r="44" spans="2:29" ht="13.5" thickBot="1">
      <c r="B44" s="77" t="s">
        <v>3</v>
      </c>
      <c r="C44" s="106" t="s">
        <v>146</v>
      </c>
      <c r="D44" s="149">
        <f>IF(C43="","",(43560/(C43*2*12)^2))</f>
        <v>151.2481828121058</v>
      </c>
      <c r="E44" s="148">
        <f>IF(C43="","",(43560/((C43+1/24)*2*12)^2))</f>
        <v>134.88373679642427</v>
      </c>
      <c r="F44" s="63" t="s">
        <v>118</v>
      </c>
      <c r="G44" s="146">
        <f>IF(H43="","",(H41*H43))</f>
        <v>16.97066469551539</v>
      </c>
      <c r="H44" s="94" t="s">
        <v>170</v>
      </c>
      <c r="I44" s="50"/>
      <c r="J44" s="94"/>
      <c r="R44" s="27">
        <f t="shared" si="26"/>
        <v>0.06</v>
      </c>
      <c r="S44" s="11">
        <f t="shared" si="29"/>
        <v>277.39172256068224</v>
      </c>
      <c r="T44" s="11">
        <f t="shared" si="27"/>
        <v>36.70473619572611</v>
      </c>
      <c r="U44" s="11">
        <f t="shared" si="30"/>
        <v>33.99704169487167</v>
      </c>
      <c r="V44" s="11"/>
      <c r="W44" s="11" t="e">
        <f t="shared" si="28"/>
        <v>#DIV/0!</v>
      </c>
      <c r="X44" s="11" t="e">
        <f t="shared" si="28"/>
        <v>#DIV/0!</v>
      </c>
      <c r="Y44" s="11" t="e">
        <f t="shared" si="31"/>
        <v>#DIV/0!</v>
      </c>
      <c r="Z44" s="11"/>
      <c r="AA44" s="11">
        <f t="shared" si="32"/>
        <v>479.1408333333333</v>
      </c>
      <c r="AB44" s="11">
        <f t="shared" si="32"/>
        <v>159.7136111111111</v>
      </c>
      <c r="AC44" s="11">
        <f t="shared" si="32"/>
        <v>26.618935185185183</v>
      </c>
    </row>
    <row r="45" spans="1:29" ht="13.5" thickBot="1">
      <c r="A45" s="687"/>
      <c r="B45" s="84" t="s">
        <v>3</v>
      </c>
      <c r="C45" s="84" t="s">
        <v>3</v>
      </c>
      <c r="D45" s="84" t="s">
        <v>3</v>
      </c>
      <c r="E45" s="84" t="s">
        <v>3</v>
      </c>
      <c r="F45" s="141" t="s">
        <v>118</v>
      </c>
      <c r="G45" s="147">
        <f>IF(H43="","",G44-(H43/2/12))</f>
        <v>15.970664695515389</v>
      </c>
      <c r="H45" s="95" t="s">
        <v>179</v>
      </c>
      <c r="I45" s="95"/>
      <c r="J45" s="96"/>
      <c r="R45" s="27">
        <f t="shared" si="26"/>
        <v>0.0625</v>
      </c>
      <c r="S45" s="11">
        <f t="shared" si="29"/>
        <v>255.64421151192477</v>
      </c>
      <c r="T45" s="11">
        <f t="shared" si="27"/>
        <v>33.827084877981186</v>
      </c>
      <c r="U45" s="11">
        <f t="shared" si="30"/>
        <v>31.33167362599373</v>
      </c>
      <c r="V45" s="11"/>
      <c r="W45" s="11" t="e">
        <f t="shared" si="28"/>
        <v>#DIV/0!</v>
      </c>
      <c r="X45" s="11" t="e">
        <f t="shared" si="28"/>
        <v>#DIV/0!</v>
      </c>
      <c r="Y45" s="11" t="e">
        <f t="shared" si="31"/>
        <v>#DIV/0!</v>
      </c>
      <c r="Z45" s="11"/>
      <c r="AA45" s="11">
        <f t="shared" si="32"/>
        <v>441.576192</v>
      </c>
      <c r="AB45" s="11">
        <f t="shared" si="32"/>
        <v>147.192064</v>
      </c>
      <c r="AC45" s="11">
        <f t="shared" si="32"/>
        <v>24.532010666666665</v>
      </c>
    </row>
    <row r="46" spans="12:29" ht="13.5" thickBot="1">
      <c r="L46" s="65" t="s">
        <v>3</v>
      </c>
      <c r="R46" s="27">
        <f t="shared" si="26"/>
        <v>0.065</v>
      </c>
      <c r="S46" s="11">
        <f t="shared" si="29"/>
        <v>236.3574440753742</v>
      </c>
      <c r="T46" s="11">
        <f t="shared" si="27"/>
        <v>31.27504149221633</v>
      </c>
      <c r="U46" s="11">
        <f t="shared" si="30"/>
        <v>28.967893515156923</v>
      </c>
      <c r="V46" s="11"/>
      <c r="W46" s="11" t="e">
        <f t="shared" si="28"/>
        <v>#DIV/0!</v>
      </c>
      <c r="X46" s="11" t="e">
        <f t="shared" si="28"/>
        <v>#DIV/0!</v>
      </c>
      <c r="Y46" s="11" t="e">
        <f t="shared" si="31"/>
        <v>#DIV/0!</v>
      </c>
      <c r="Z46" s="11"/>
      <c r="AA46" s="11">
        <f t="shared" si="32"/>
        <v>408.2620118343194</v>
      </c>
      <c r="AB46" s="11">
        <f t="shared" si="32"/>
        <v>136.08733727810647</v>
      </c>
      <c r="AC46" s="11">
        <f t="shared" si="32"/>
        <v>22.681222879684412</v>
      </c>
    </row>
    <row r="47" spans="2:29" ht="13.5" thickBot="1">
      <c r="B47" s="127"/>
      <c r="C47" s="128"/>
      <c r="D47" s="128"/>
      <c r="E47" s="86" t="s">
        <v>162</v>
      </c>
      <c r="F47" s="128"/>
      <c r="G47" s="128"/>
      <c r="H47" s="128"/>
      <c r="I47" s="128"/>
      <c r="J47" s="129"/>
      <c r="R47" s="27">
        <f t="shared" si="26"/>
        <v>0.0675</v>
      </c>
      <c r="S47" s="11">
        <f t="shared" si="29"/>
        <v>219.1737067146131</v>
      </c>
      <c r="T47" s="11">
        <f t="shared" si="27"/>
        <v>29.00127304353668</v>
      </c>
      <c r="U47" s="11">
        <f t="shared" si="30"/>
        <v>26.861860104589958</v>
      </c>
      <c r="V47" s="11"/>
      <c r="W47" s="11" t="e">
        <f t="shared" si="28"/>
        <v>#DIV/0!</v>
      </c>
      <c r="X47" s="11" t="e">
        <f t="shared" si="28"/>
        <v>#DIV/0!</v>
      </c>
      <c r="Y47" s="11" t="e">
        <f t="shared" si="31"/>
        <v>#DIV/0!</v>
      </c>
      <c r="Z47" s="11"/>
      <c r="AA47" s="11">
        <f t="shared" si="32"/>
        <v>378.58041152263365</v>
      </c>
      <c r="AB47" s="11">
        <f t="shared" si="32"/>
        <v>126.19347050754456</v>
      </c>
      <c r="AC47" s="11">
        <f t="shared" si="32"/>
        <v>21.03224508459076</v>
      </c>
    </row>
    <row r="48" spans="2:29" ht="14.25" thickBot="1" thickTop="1">
      <c r="B48" s="110"/>
      <c r="C48" s="111"/>
      <c r="D48" s="111"/>
      <c r="E48" s="111"/>
      <c r="F48" s="173" t="s">
        <v>180</v>
      </c>
      <c r="G48" s="111"/>
      <c r="H48" s="112" t="s">
        <v>164</v>
      </c>
      <c r="I48" s="113">
        <f>600/4.356</f>
        <v>137.7410468319559</v>
      </c>
      <c r="J48" s="204">
        <f>I48</f>
        <v>137.7410468319559</v>
      </c>
      <c r="R48" s="27">
        <f t="shared" si="26"/>
        <v>0.07</v>
      </c>
      <c r="S48" s="11">
        <f t="shared" si="29"/>
        <v>203.7980002486645</v>
      </c>
      <c r="T48" s="11">
        <f t="shared" si="27"/>
        <v>26.966744960125304</v>
      </c>
      <c r="U48" s="11">
        <f t="shared" si="30"/>
        <v>24.977418388068976</v>
      </c>
      <c r="V48" s="11"/>
      <c r="W48" s="11" t="e">
        <f t="shared" si="28"/>
        <v>#DIV/0!</v>
      </c>
      <c r="X48" s="11" t="e">
        <f t="shared" si="28"/>
        <v>#DIV/0!</v>
      </c>
      <c r="Y48" s="11" t="e">
        <f t="shared" si="31"/>
        <v>#DIV/0!</v>
      </c>
      <c r="Z48" s="11"/>
      <c r="AA48" s="11">
        <f aca="true" t="shared" si="33" ref="AA48:AC56">AA19</f>
        <v>352.0218367346938</v>
      </c>
      <c r="AB48" s="11">
        <f t="shared" si="33"/>
        <v>117.34061224489794</v>
      </c>
      <c r="AC48" s="11">
        <f t="shared" si="33"/>
        <v>19.556768707482988</v>
      </c>
    </row>
    <row r="49" spans="2:29" ht="13.5" thickBot="1">
      <c r="B49" s="114"/>
      <c r="C49" s="115"/>
      <c r="D49" s="115"/>
      <c r="E49" s="115"/>
      <c r="F49" s="115"/>
      <c r="G49" s="90"/>
      <c r="H49" s="116" t="s">
        <v>172</v>
      </c>
      <c r="I49" s="139">
        <f>8.5*2.54</f>
        <v>21.59</v>
      </c>
      <c r="J49" s="582">
        <f>IF(J48="","",((2*J50)/SQRT((10000/J48)-1))*100)</f>
        <v>21.589999999999996</v>
      </c>
      <c r="R49" s="27">
        <f t="shared" si="26"/>
        <v>0.07250000000000001</v>
      </c>
      <c r="S49" s="11">
        <f t="shared" si="29"/>
        <v>189.98529392978944</v>
      </c>
      <c r="T49" s="11">
        <f t="shared" si="27"/>
        <v>25.13903454071134</v>
      </c>
      <c r="U49" s="11">
        <f t="shared" si="30"/>
        <v>23.284537474727795</v>
      </c>
      <c r="V49" s="11"/>
      <c r="W49" s="11" t="e">
        <f t="shared" si="28"/>
        <v>#DIV/0!</v>
      </c>
      <c r="X49" s="11" t="e">
        <f t="shared" si="28"/>
        <v>#DIV/0!</v>
      </c>
      <c r="Y49" s="11" t="e">
        <f t="shared" si="31"/>
        <v>#DIV/0!</v>
      </c>
      <c r="Z49" s="11"/>
      <c r="AA49" s="11">
        <f t="shared" si="33"/>
        <v>328.16304399524364</v>
      </c>
      <c r="AB49" s="11">
        <f t="shared" si="33"/>
        <v>109.38768133174788</v>
      </c>
      <c r="AC49" s="11">
        <f t="shared" si="33"/>
        <v>18.23128022195798</v>
      </c>
    </row>
    <row r="50" spans="2:29" ht="13.5" thickBot="1">
      <c r="B50" s="97"/>
      <c r="C50" s="117" t="s">
        <v>173</v>
      </c>
      <c r="D50" s="124">
        <v>21.59</v>
      </c>
      <c r="E50" s="115" t="s">
        <v>168</v>
      </c>
      <c r="F50" s="90" t="s">
        <v>120</v>
      </c>
      <c r="G50" s="115" t="s">
        <v>3</v>
      </c>
      <c r="H50" s="118" t="s">
        <v>134</v>
      </c>
      <c r="I50" s="151">
        <f>IF(I48&gt;0,(SQRT((10000/I48)-1)*(I49))/2/100,"")</f>
        <v>0.9134381747004008</v>
      </c>
      <c r="J50" s="205">
        <f>I50</f>
        <v>0.9134381747004008</v>
      </c>
      <c r="R50" s="27">
        <f t="shared" si="26"/>
        <v>0.07500000000000001</v>
      </c>
      <c r="S50" s="11">
        <f t="shared" si="29"/>
        <v>177.53070243883656</v>
      </c>
      <c r="T50" s="11">
        <f t="shared" si="27"/>
        <v>23.491031165264705</v>
      </c>
      <c r="U50" s="11">
        <f t="shared" si="30"/>
        <v>21.75810668471786</v>
      </c>
      <c r="V50" s="11"/>
      <c r="W50" s="11" t="e">
        <f t="shared" si="28"/>
        <v>#DIV/0!</v>
      </c>
      <c r="X50" s="11" t="e">
        <f t="shared" si="28"/>
        <v>#DIV/0!</v>
      </c>
      <c r="Y50" s="11" t="e">
        <f t="shared" si="31"/>
        <v>#DIV/0!</v>
      </c>
      <c r="Z50" s="11"/>
      <c r="AA50" s="11">
        <f t="shared" si="33"/>
        <v>306.65013333333326</v>
      </c>
      <c r="AB50" s="11">
        <f t="shared" si="33"/>
        <v>102.21671111111108</v>
      </c>
      <c r="AC50" s="11">
        <f t="shared" si="33"/>
        <v>17.036118518518514</v>
      </c>
    </row>
    <row r="51" spans="2:29" ht="12.75">
      <c r="B51" s="97"/>
      <c r="C51" s="117" t="s">
        <v>174</v>
      </c>
      <c r="D51" s="125">
        <f>I50</f>
        <v>0.9134381747004008</v>
      </c>
      <c r="E51" s="115" t="s">
        <v>77</v>
      </c>
      <c r="F51" s="142">
        <f>10000/((D51*2/(D50/100))^2+D52)</f>
        <v>137.74104683195594</v>
      </c>
      <c r="G51" s="115" t="s">
        <v>72</v>
      </c>
      <c r="H51" s="115"/>
      <c r="I51" s="115"/>
      <c r="J51" s="119"/>
      <c r="R51" s="27">
        <f t="shared" si="26"/>
        <v>0.07750000000000001</v>
      </c>
      <c r="S51" s="11">
        <f t="shared" si="29"/>
        <v>166.2618441154557</v>
      </c>
      <c r="T51" s="11">
        <f t="shared" si="27"/>
        <v>21.99992512875987</v>
      </c>
      <c r="U51" s="11">
        <f t="shared" si="30"/>
        <v>20.37699897632266</v>
      </c>
      <c r="V51" s="11"/>
      <c r="W51" s="11" t="e">
        <f t="shared" si="28"/>
        <v>#DIV/0!</v>
      </c>
      <c r="X51" s="11" t="e">
        <f t="shared" si="28"/>
        <v>#DIV/0!</v>
      </c>
      <c r="Y51" s="11" t="e">
        <f t="shared" si="31"/>
        <v>#DIV/0!</v>
      </c>
      <c r="Z51" s="11"/>
      <c r="AA51" s="11">
        <f t="shared" si="33"/>
        <v>287.1853485952132</v>
      </c>
      <c r="AB51" s="11">
        <f t="shared" si="33"/>
        <v>95.72844953173774</v>
      </c>
      <c r="AC51" s="11">
        <f t="shared" si="33"/>
        <v>15.954741588622955</v>
      </c>
    </row>
    <row r="52" spans="2:29" ht="12.75">
      <c r="B52" s="120"/>
      <c r="C52" s="117" t="s">
        <v>154</v>
      </c>
      <c r="D52" s="126">
        <v>1</v>
      </c>
      <c r="E52" s="115"/>
      <c r="F52" s="115"/>
      <c r="G52" s="115"/>
      <c r="H52" s="115"/>
      <c r="I52" s="115"/>
      <c r="J52" s="121"/>
      <c r="K52" s="708" t="s">
        <v>160</v>
      </c>
      <c r="L52" s="675"/>
      <c r="M52" s="675"/>
      <c r="N52" s="676"/>
      <c r="R52" s="27">
        <f t="shared" si="26"/>
        <v>0.08000000000000002</v>
      </c>
      <c r="S52" s="11">
        <f t="shared" si="29"/>
        <v>156.03284394038369</v>
      </c>
      <c r="T52" s="11">
        <f t="shared" si="27"/>
        <v>20.64641411009593</v>
      </c>
      <c r="U52" s="11">
        <f t="shared" si="30"/>
        <v>19.123335953365306</v>
      </c>
      <c r="V52" s="11"/>
      <c r="W52" s="11" t="e">
        <f t="shared" si="28"/>
        <v>#DIV/0!</v>
      </c>
      <c r="X52" s="11" t="e">
        <f t="shared" si="28"/>
        <v>#DIV/0!</v>
      </c>
      <c r="Y52" s="11" t="e">
        <f t="shared" si="31"/>
        <v>#DIV/0!</v>
      </c>
      <c r="Z52" s="11"/>
      <c r="AA52" s="11">
        <f t="shared" si="33"/>
        <v>269.5167187499999</v>
      </c>
      <c r="AB52" s="11">
        <f t="shared" si="33"/>
        <v>89.83890624999995</v>
      </c>
      <c r="AC52" s="11">
        <f t="shared" si="33"/>
        <v>14.973151041666657</v>
      </c>
    </row>
    <row r="53" spans="2:29" ht="12.75">
      <c r="B53" s="120" t="s">
        <v>175</v>
      </c>
      <c r="C53" s="115"/>
      <c r="D53" s="115"/>
      <c r="E53" s="115"/>
      <c r="F53" s="115"/>
      <c r="G53" s="117" t="s">
        <v>176</v>
      </c>
      <c r="H53" s="144">
        <f>SQRT((D51*2*100/D50)^2+D52)/100/2</f>
        <v>0.04260281680828158</v>
      </c>
      <c r="I53" s="115" t="s">
        <v>166</v>
      </c>
      <c r="J53" s="121"/>
      <c r="K53" s="710" t="s">
        <v>255</v>
      </c>
      <c r="L53" s="678"/>
      <c r="M53" s="678"/>
      <c r="N53" s="679"/>
      <c r="R53" s="27">
        <f t="shared" si="26"/>
        <v>0.08250000000000002</v>
      </c>
      <c r="S53" s="11">
        <f t="shared" si="29"/>
        <v>146.7195887924269</v>
      </c>
      <c r="T53" s="11">
        <f t="shared" si="27"/>
        <v>19.414075343193968</v>
      </c>
      <c r="U53" s="11">
        <f t="shared" si="30"/>
        <v>17.981906351006494</v>
      </c>
      <c r="V53" s="11"/>
      <c r="W53" s="11" t="e">
        <f t="shared" si="28"/>
        <v>#DIV/0!</v>
      </c>
      <c r="X53" s="11" t="e">
        <f t="shared" si="28"/>
        <v>#DIV/0!</v>
      </c>
      <c r="Y53" s="11" t="e">
        <f t="shared" si="31"/>
        <v>#DIV/0!</v>
      </c>
      <c r="Z53" s="11"/>
      <c r="AA53" s="11">
        <f t="shared" si="33"/>
        <v>253.42986225895302</v>
      </c>
      <c r="AB53" s="11">
        <f t="shared" si="33"/>
        <v>84.47662075298435</v>
      </c>
      <c r="AC53" s="11">
        <f t="shared" si="33"/>
        <v>14.079436792164056</v>
      </c>
    </row>
    <row r="54" spans="2:29" ht="13.5" thickBot="1">
      <c r="B54" s="114" t="s">
        <v>3</v>
      </c>
      <c r="C54" s="115"/>
      <c r="D54" s="115"/>
      <c r="E54" s="115"/>
      <c r="F54" s="115"/>
      <c r="G54" s="117" t="s">
        <v>177</v>
      </c>
      <c r="H54" s="150">
        <f>H53-(1/200)</f>
        <v>0.037602816808281585</v>
      </c>
      <c r="I54" s="115" t="s">
        <v>166</v>
      </c>
      <c r="J54" s="121"/>
      <c r="K54" s="711" t="s">
        <v>250</v>
      </c>
      <c r="L54" s="680"/>
      <c r="M54" s="680"/>
      <c r="N54" s="681"/>
      <c r="R54" s="27">
        <f t="shared" si="26"/>
        <v>0.08500000000000002</v>
      </c>
      <c r="S54" s="11">
        <f t="shared" si="29"/>
        <v>138.2159448053226</v>
      </c>
      <c r="T54" s="11">
        <f t="shared" si="27"/>
        <v>18.288865094064217</v>
      </c>
      <c r="U54" s="11">
        <f t="shared" si="30"/>
        <v>16.939702436199028</v>
      </c>
      <c r="V54" s="11"/>
      <c r="W54" s="11" t="e">
        <f t="shared" si="28"/>
        <v>#DIV/0!</v>
      </c>
      <c r="X54" s="11" t="e">
        <f t="shared" si="28"/>
        <v>#DIV/0!</v>
      </c>
      <c r="Y54" s="11" t="e">
        <f t="shared" si="31"/>
        <v>#DIV/0!</v>
      </c>
      <c r="Z54" s="11"/>
      <c r="AA54" s="11">
        <f t="shared" si="33"/>
        <v>238.74145328719712</v>
      </c>
      <c r="AB54" s="11">
        <f t="shared" si="33"/>
        <v>79.5804844290657</v>
      </c>
      <c r="AC54" s="11">
        <f t="shared" si="33"/>
        <v>13.263414071510951</v>
      </c>
    </row>
    <row r="55" spans="2:29" ht="13.5" thickBot="1">
      <c r="B55" s="130" t="s">
        <v>131</v>
      </c>
      <c r="C55" s="123">
        <f>H53</f>
        <v>0.04260281680828158</v>
      </c>
      <c r="D55" s="131" t="s">
        <v>133</v>
      </c>
      <c r="E55" s="132" t="s">
        <v>132</v>
      </c>
      <c r="F55" s="90"/>
      <c r="G55" s="158" t="s">
        <v>192</v>
      </c>
      <c r="H55" s="241">
        <f>2.54*H43</f>
        <v>60.96</v>
      </c>
      <c r="I55" s="133" t="s">
        <v>76</v>
      </c>
      <c r="J55" s="121"/>
      <c r="R55" s="27">
        <f t="shared" si="26"/>
        <v>0.08750000000000002</v>
      </c>
      <c r="S55" s="11">
        <f t="shared" si="29"/>
        <v>130.4307201591452</v>
      </c>
      <c r="T55" s="11">
        <f t="shared" si="27"/>
        <v>17.258716774480188</v>
      </c>
      <c r="U55" s="11">
        <f t="shared" si="30"/>
        <v>15.98554776836414</v>
      </c>
      <c r="V55" s="11"/>
      <c r="W55" s="11" t="e">
        <f t="shared" si="28"/>
        <v>#DIV/0!</v>
      </c>
      <c r="X55" s="11" t="e">
        <f t="shared" si="28"/>
        <v>#DIV/0!</v>
      </c>
      <c r="Y55" s="11" t="e">
        <f t="shared" si="31"/>
        <v>#DIV/0!</v>
      </c>
      <c r="Z55" s="11"/>
      <c r="AA55" s="11">
        <f t="shared" si="33"/>
        <v>225.29397551020395</v>
      </c>
      <c r="AB55" s="11">
        <f t="shared" si="33"/>
        <v>75.09799183673465</v>
      </c>
      <c r="AC55" s="11">
        <f t="shared" si="33"/>
        <v>12.516331972789107</v>
      </c>
    </row>
    <row r="56" spans="2:29" ht="13.5" thickBot="1">
      <c r="B56" s="122" t="s">
        <v>3</v>
      </c>
      <c r="C56" s="134" t="s">
        <v>157</v>
      </c>
      <c r="D56" s="152">
        <f>IF(C55="","",(10000/(C55*2*100)^2))</f>
        <v>137.74104683195594</v>
      </c>
      <c r="E56" s="153">
        <f>IF(C55="","",(10000/((C55+1/200)*2*100)^2))</f>
        <v>110.32519521216445</v>
      </c>
      <c r="F56" s="243" t="s">
        <v>118</v>
      </c>
      <c r="G56" s="154">
        <f>(H53*H55)</f>
        <v>2.597067712632845</v>
      </c>
      <c r="H56" s="135" t="s">
        <v>178</v>
      </c>
      <c r="I56" s="115"/>
      <c r="J56" s="121"/>
      <c r="R56" s="27">
        <f t="shared" si="26"/>
        <v>0.09000000000000002</v>
      </c>
      <c r="S56" s="11">
        <f t="shared" si="29"/>
        <v>123.28521002696982</v>
      </c>
      <c r="T56" s="11">
        <f t="shared" si="27"/>
        <v>16.313216086989375</v>
      </c>
      <c r="U56" s="11">
        <f t="shared" si="30"/>
        <v>15.109796308831845</v>
      </c>
      <c r="V56" s="11"/>
      <c r="W56" s="11" t="e">
        <f t="shared" si="28"/>
        <v>#DIV/0!</v>
      </c>
      <c r="X56" s="11" t="e">
        <f t="shared" si="28"/>
        <v>#DIV/0!</v>
      </c>
      <c r="Y56" s="11" t="e">
        <f t="shared" si="31"/>
        <v>#DIV/0!</v>
      </c>
      <c r="Z56" s="11"/>
      <c r="AA56" s="11">
        <f t="shared" si="33"/>
        <v>212.95148148148138</v>
      </c>
      <c r="AB56" s="11">
        <f t="shared" si="33"/>
        <v>70.98382716049379</v>
      </c>
      <c r="AC56" s="11">
        <f t="shared" si="33"/>
        <v>11.830637860082298</v>
      </c>
    </row>
    <row r="57" spans="2:49" ht="13.5" thickBot="1">
      <c r="B57" s="136"/>
      <c r="C57" s="136"/>
      <c r="D57" s="136"/>
      <c r="E57" s="136"/>
      <c r="F57" s="244" t="s">
        <v>118</v>
      </c>
      <c r="G57" s="155">
        <f>IF(H55="","",G56-(H55/2/100))</f>
        <v>2.292267712632845</v>
      </c>
      <c r="H57" s="137" t="s">
        <v>243</v>
      </c>
      <c r="I57" s="137"/>
      <c r="J57" s="138"/>
      <c r="AE57" s="10"/>
      <c r="AF57" s="10"/>
      <c r="AG57" s="10"/>
      <c r="AH57" s="10"/>
      <c r="AI57" s="10"/>
      <c r="AJ57" s="10"/>
      <c r="AK57" s="10"/>
      <c r="AL57" s="10"/>
      <c r="AM57" s="10"/>
      <c r="AN57" s="10"/>
      <c r="AO57" s="10"/>
      <c r="AQ57"/>
      <c r="AR57"/>
      <c r="AS57"/>
      <c r="AT57"/>
      <c r="AU57"/>
      <c r="AV57"/>
      <c r="AW57"/>
    </row>
    <row r="58" spans="18:41" ht="12.75">
      <c r="R58" s="694" t="str">
        <f>J1</f>
        <v>Other #Points Options :</v>
      </c>
      <c r="S58" s="694"/>
      <c r="T58" s="694"/>
      <c r="U58" s="700" t="str">
        <f>M1</f>
        <v>* start  TC=</v>
      </c>
      <c r="V58" s="697">
        <f>N1</f>
        <v>34</v>
      </c>
      <c r="W58" s="698" t="str">
        <f>O1</f>
        <v>* interval=</v>
      </c>
      <c r="X58" s="699">
        <f>P1</f>
        <v>3</v>
      </c>
      <c r="AE58" s="10"/>
      <c r="AF58" s="10"/>
      <c r="AG58" s="10"/>
      <c r="AH58" s="10"/>
      <c r="AI58" s="10"/>
      <c r="AJ58" s="10"/>
      <c r="AK58" s="10"/>
      <c r="AL58" s="10"/>
      <c r="AM58" s="10"/>
      <c r="AN58" s="10"/>
      <c r="AO58" s="10"/>
    </row>
    <row r="59" spans="18:41" ht="13.5" thickBot="1">
      <c r="R59" s="700" t="s">
        <v>3</v>
      </c>
      <c r="S59" s="694" t="str">
        <f>K2</f>
        <v>* modify by start by :</v>
      </c>
      <c r="T59" s="694"/>
      <c r="U59" s="699">
        <f>M2</f>
        <v>0</v>
      </c>
      <c r="V59" s="700" t="str">
        <f>N2</f>
        <v>Total</v>
      </c>
      <c r="W59" s="700"/>
      <c r="X59" s="700"/>
      <c r="AE59" s="10"/>
      <c r="AF59" s="10"/>
      <c r="AG59" s="10"/>
      <c r="AH59" s="10"/>
      <c r="AI59" s="10"/>
      <c r="AJ59" s="10"/>
      <c r="AK59" s="10"/>
      <c r="AL59" s="10"/>
      <c r="AM59" s="10"/>
      <c r="AN59" s="10"/>
      <c r="AO59" s="10"/>
    </row>
    <row r="60" spans="1:41" ht="13.5" thickBot="1">
      <c r="A60" s="686">
        <v>6</v>
      </c>
      <c r="B60" s="98"/>
      <c r="C60" s="99"/>
      <c r="D60" s="99"/>
      <c r="E60" s="100" t="s">
        <v>245</v>
      </c>
      <c r="F60" s="99"/>
      <c r="G60" s="99"/>
      <c r="H60" s="99"/>
      <c r="I60" s="99"/>
      <c r="J60" s="101"/>
      <c r="R60" s="701" t="str">
        <f>J3</f>
        <v>n(TC)</v>
      </c>
      <c r="S60" s="702" t="str">
        <f>K3</f>
        <v>SE%(TC)</v>
      </c>
      <c r="T60" s="701" t="str">
        <f>L3</f>
        <v>n(VBAR)</v>
      </c>
      <c r="U60" s="703" t="str">
        <f>M3</f>
        <v>SE%(VBAR)</v>
      </c>
      <c r="V60" s="701" t="str">
        <f>N3</f>
        <v>Cost</v>
      </c>
      <c r="W60" s="701"/>
      <c r="X60" s="701" t="s">
        <v>34</v>
      </c>
      <c r="AE60" s="10"/>
      <c r="AF60" s="10"/>
      <c r="AG60" s="10"/>
      <c r="AH60" s="10"/>
      <c r="AI60" s="10"/>
      <c r="AJ60" s="10"/>
      <c r="AK60" s="10"/>
      <c r="AL60" s="10"/>
      <c r="AM60" s="10"/>
      <c r="AN60" s="10"/>
      <c r="AO60" s="10"/>
    </row>
    <row r="61" spans="2:41" ht="12.75">
      <c r="B61" s="206" t="s">
        <v>116</v>
      </c>
      <c r="C61" s="207"/>
      <c r="D61" s="207"/>
      <c r="E61" s="207"/>
      <c r="F61" s="207"/>
      <c r="G61" s="207"/>
      <c r="H61" s="207"/>
      <c r="I61" s="208" t="s">
        <v>3</v>
      </c>
      <c r="J61" s="209"/>
      <c r="L61" s="35"/>
      <c r="R61" s="694">
        <f aca="true" t="shared" si="34" ref="R61:R67">J4</f>
        <v>26.618935185185183</v>
      </c>
      <c r="S61" s="696">
        <f aca="true" t="shared" si="35" ref="S61:S81">K4</f>
        <v>0.0581468128792342</v>
      </c>
      <c r="T61" s="694">
        <f aca="true" t="shared" si="36" ref="T61:T81">L4</f>
        <v>159.7136111111111</v>
      </c>
      <c r="U61" s="728">
        <f aca="true" t="shared" si="37" ref="U61:U81">M4</f>
        <v>0.014796896701245293</v>
      </c>
      <c r="V61" s="694">
        <f aca="true" t="shared" si="38" ref="V61:V81">N4</f>
        <v>479.1408333333333</v>
      </c>
      <c r="W61" s="694">
        <f aca="true" t="shared" si="39" ref="W61:W81">O4</f>
        <v>1</v>
      </c>
      <c r="X61" s="694">
        <f aca="true" t="shared" si="40" ref="X61:X81">P4</f>
        <v>3</v>
      </c>
      <c r="AE61" s="10"/>
      <c r="AF61" s="10"/>
      <c r="AG61" s="10"/>
      <c r="AH61" s="10"/>
      <c r="AI61" s="10"/>
      <c r="AJ61" s="10"/>
      <c r="AK61" s="10"/>
      <c r="AL61" s="10"/>
      <c r="AM61" s="10"/>
      <c r="AN61" s="10"/>
      <c r="AO61" s="10"/>
    </row>
    <row r="62" spans="2:41" ht="13.5" thickBot="1">
      <c r="B62" s="79" t="s">
        <v>249</v>
      </c>
      <c r="C62" s="156">
        <v>60</v>
      </c>
      <c r="D62" s="61" t="s">
        <v>78</v>
      </c>
      <c r="E62" s="519">
        <v>12</v>
      </c>
      <c r="F62" s="210" t="s">
        <v>114</v>
      </c>
      <c r="G62" s="211" t="s">
        <v>117</v>
      </c>
      <c r="H62" s="50"/>
      <c r="I62" s="50"/>
      <c r="J62" s="94"/>
      <c r="R62" s="694">
        <f t="shared" si="34"/>
        <v>0</v>
      </c>
      <c r="S62" s="696" t="e">
        <f t="shared" si="35"/>
        <v>#DIV/0!</v>
      </c>
      <c r="T62" s="694">
        <f t="shared" si="36"/>
        <v>0</v>
      </c>
      <c r="U62" s="728" t="e">
        <f t="shared" si="37"/>
        <v>#DIV/0!</v>
      </c>
      <c r="V62" s="694">
        <f t="shared" si="38"/>
        <v>0</v>
      </c>
      <c r="W62" s="694">
        <f t="shared" si="39"/>
        <v>4</v>
      </c>
      <c r="X62" s="694">
        <f t="shared" si="40"/>
        <v>3</v>
      </c>
      <c r="AE62" s="10"/>
      <c r="AF62" s="10"/>
      <c r="AG62" s="10"/>
      <c r="AH62" s="10"/>
      <c r="AI62" s="10"/>
      <c r="AJ62" s="10"/>
      <c r="AK62" s="10"/>
      <c r="AL62" s="10"/>
      <c r="AM62" s="10"/>
      <c r="AN62" s="10"/>
      <c r="AO62" s="10"/>
    </row>
    <row r="63" spans="2:41" ht="13.5" thickBot="1">
      <c r="B63" s="80" t="s">
        <v>217</v>
      </c>
      <c r="C63" s="569">
        <f>IF(E62="","",C62/((E62/2/12)^2*3.14159))</f>
        <v>76.39443721173036</v>
      </c>
      <c r="D63" s="50" t="s">
        <v>3</v>
      </c>
      <c r="E63" s="50" t="s">
        <v>3</v>
      </c>
      <c r="F63" s="50" t="s">
        <v>3</v>
      </c>
      <c r="G63" s="50" t="s">
        <v>3</v>
      </c>
      <c r="H63" s="169">
        <f>IF(E62&gt;0,(((H65)^2)*3.14159/43560),"")</f>
        <v>0.013089958333333334</v>
      </c>
      <c r="I63" s="50" t="s">
        <v>79</v>
      </c>
      <c r="J63" s="94"/>
      <c r="K63" s="708" t="s">
        <v>160</v>
      </c>
      <c r="L63" s="675"/>
      <c r="M63" s="675"/>
      <c r="N63" s="676"/>
      <c r="R63" s="694">
        <f t="shared" si="34"/>
        <v>7</v>
      </c>
      <c r="S63" s="696">
        <f t="shared" si="35"/>
        <v>0.11338934190276816</v>
      </c>
      <c r="T63" s="694">
        <f t="shared" si="36"/>
      </c>
      <c r="U63" s="728">
        <f t="shared" si="37"/>
      </c>
      <c r="V63" s="694">
        <f t="shared" si="38"/>
      </c>
      <c r="W63" s="694">
        <f t="shared" si="39"/>
        <v>7</v>
      </c>
      <c r="X63" s="694">
        <f t="shared" si="40"/>
        <v>3</v>
      </c>
      <c r="AE63" s="10"/>
      <c r="AF63" s="10"/>
      <c r="AG63" s="10"/>
      <c r="AH63" s="10"/>
      <c r="AI63" s="10"/>
      <c r="AJ63" s="10"/>
      <c r="AK63" s="10"/>
      <c r="AL63" s="10"/>
      <c r="AM63" s="10"/>
      <c r="AN63" s="10"/>
      <c r="AO63" s="10"/>
    </row>
    <row r="64" spans="2:41" ht="13.5" thickBot="1">
      <c r="B64" s="79"/>
      <c r="C64" s="50"/>
      <c r="D64" s="207"/>
      <c r="E64" s="212" t="s">
        <v>122</v>
      </c>
      <c r="F64" s="213" t="s">
        <v>185</v>
      </c>
      <c r="G64" s="214"/>
      <c r="H64" s="207" t="s">
        <v>3</v>
      </c>
      <c r="I64" s="207"/>
      <c r="J64" s="94"/>
      <c r="K64" s="723" t="s">
        <v>257</v>
      </c>
      <c r="L64" s="680"/>
      <c r="M64" s="680"/>
      <c r="N64" s="681"/>
      <c r="R64" s="694">
        <f t="shared" si="34"/>
        <v>10</v>
      </c>
      <c r="S64" s="696">
        <f t="shared" si="35"/>
        <v>0.09486832980505137</v>
      </c>
      <c r="T64" s="694">
        <f t="shared" si="36"/>
      </c>
      <c r="U64" s="728">
        <f t="shared" si="37"/>
      </c>
      <c r="V64" s="694">
        <f t="shared" si="38"/>
      </c>
      <c r="W64" s="694">
        <f t="shared" si="39"/>
        <v>10</v>
      </c>
      <c r="X64" s="694">
        <f t="shared" si="40"/>
        <v>3</v>
      </c>
      <c r="AE64" s="10"/>
      <c r="AF64" s="10"/>
      <c r="AG64" s="10"/>
      <c r="AH64" s="10"/>
      <c r="AI64" s="10"/>
      <c r="AJ64" s="10"/>
      <c r="AK64" s="10"/>
      <c r="AL64" s="10"/>
      <c r="AM64" s="10"/>
      <c r="AN64" s="10"/>
      <c r="AO64" s="10"/>
    </row>
    <row r="65" spans="2:41" ht="13.5" thickBot="1">
      <c r="B65" s="76"/>
      <c r="C65" s="61" t="s">
        <v>153</v>
      </c>
      <c r="D65" s="575">
        <f>(43560/C62)</f>
        <v>726</v>
      </c>
      <c r="E65" s="61" t="s">
        <v>184</v>
      </c>
      <c r="F65" s="166">
        <f>SQRT(43560/(C62))/2/12</f>
        <v>1.1226827987756234</v>
      </c>
      <c r="G65" s="215" t="s">
        <v>186</v>
      </c>
      <c r="H65" s="143">
        <f>IF(E62&gt;0,F65*E62,"")</f>
        <v>13.47219358530748</v>
      </c>
      <c r="I65" s="50" t="s">
        <v>203</v>
      </c>
      <c r="J65" s="94"/>
      <c r="R65" s="694">
        <f t="shared" si="34"/>
        <v>13</v>
      </c>
      <c r="S65" s="696">
        <f t="shared" si="35"/>
        <v>0.08320502943378437</v>
      </c>
      <c r="T65" s="694">
        <f t="shared" si="36"/>
      </c>
      <c r="U65" s="728">
        <f t="shared" si="37"/>
      </c>
      <c r="V65" s="694">
        <f t="shared" si="38"/>
      </c>
      <c r="W65" s="694">
        <f t="shared" si="39"/>
        <v>13</v>
      </c>
      <c r="X65" s="694">
        <f t="shared" si="40"/>
        <v>3</v>
      </c>
      <c r="AE65" s="10"/>
      <c r="AF65" s="10"/>
      <c r="AG65" s="10"/>
      <c r="AH65" s="10"/>
      <c r="AI65" s="10"/>
      <c r="AJ65" s="10"/>
      <c r="AK65" s="10"/>
      <c r="AL65" s="10"/>
      <c r="AM65" s="10"/>
      <c r="AN65" s="10"/>
      <c r="AO65" s="10"/>
    </row>
    <row r="66" spans="2:41" ht="13.5" thickBot="1">
      <c r="B66" s="571" t="s">
        <v>220</v>
      </c>
      <c r="C66" s="724">
        <f>2*DEGREES(ASIN(SQRT(1/D65)))</f>
        <v>4.2538685783306756</v>
      </c>
      <c r="D66" s="218" t="s">
        <v>219</v>
      </c>
      <c r="E66" s="217" t="s">
        <v>183</v>
      </c>
      <c r="F66" s="167">
        <f>F65-(1/24)</f>
        <v>1.0810161321089566</v>
      </c>
      <c r="G66" s="216" t="s">
        <v>186</v>
      </c>
      <c r="H66" s="174">
        <f>IF(E62&gt;0,F66*E62,"")</f>
        <v>12.97219358530748</v>
      </c>
      <c r="I66" s="95" t="s">
        <v>204</v>
      </c>
      <c r="J66" s="96"/>
      <c r="K66" s="574" t="s">
        <v>3</v>
      </c>
      <c r="R66" s="694">
        <f t="shared" si="34"/>
        <v>16</v>
      </c>
      <c r="S66" s="696">
        <f t="shared" si="35"/>
        <v>0.075</v>
      </c>
      <c r="T66" s="694">
        <f t="shared" si="36"/>
      </c>
      <c r="U66" s="728">
        <f t="shared" si="37"/>
      </c>
      <c r="V66" s="694">
        <f t="shared" si="38"/>
      </c>
      <c r="W66" s="694">
        <f t="shared" si="39"/>
        <v>16</v>
      </c>
      <c r="X66" s="694">
        <f t="shared" si="40"/>
        <v>3</v>
      </c>
      <c r="AE66" s="10"/>
      <c r="AF66" s="10"/>
      <c r="AG66" s="10"/>
      <c r="AH66" s="10"/>
      <c r="AI66" s="10"/>
      <c r="AJ66" s="10"/>
      <c r="AK66" s="10"/>
      <c r="AL66" s="10"/>
      <c r="AM66" s="10"/>
      <c r="AN66" s="10"/>
      <c r="AO66" s="10"/>
    </row>
    <row r="67" spans="16:41" ht="13.5" thickBot="1">
      <c r="P67" s="11"/>
      <c r="R67" s="694">
        <f t="shared" si="34"/>
        <v>19</v>
      </c>
      <c r="S67" s="694">
        <f t="shared" si="35"/>
        <v>0.06882472016116851</v>
      </c>
      <c r="T67" s="694">
        <f t="shared" si="36"/>
      </c>
      <c r="U67" s="728">
        <f t="shared" si="37"/>
      </c>
      <c r="V67" s="694">
        <f t="shared" si="38"/>
      </c>
      <c r="W67" s="694">
        <f t="shared" si="39"/>
        <v>19</v>
      </c>
      <c r="X67" s="694">
        <f t="shared" si="40"/>
        <v>3</v>
      </c>
      <c r="AE67" s="10"/>
      <c r="AF67" s="10"/>
      <c r="AG67" s="10"/>
      <c r="AH67" s="10"/>
      <c r="AI67" s="10"/>
      <c r="AJ67" s="10"/>
      <c r="AK67" s="10"/>
      <c r="AL67" s="10"/>
      <c r="AM67" s="10"/>
      <c r="AN67" s="10"/>
      <c r="AO67" s="10"/>
    </row>
    <row r="68" spans="2:41" ht="13.5" thickBot="1">
      <c r="B68" s="566"/>
      <c r="C68" s="567"/>
      <c r="D68" s="128"/>
      <c r="E68" s="86" t="s">
        <v>246</v>
      </c>
      <c r="F68" s="128"/>
      <c r="G68" s="128"/>
      <c r="H68" s="128"/>
      <c r="I68" s="128"/>
      <c r="J68" s="129"/>
      <c r="R68" s="694">
        <f aca="true" t="shared" si="41" ref="R68:R81">J11</f>
        <v>22</v>
      </c>
      <c r="S68" s="694">
        <f t="shared" si="35"/>
        <v>0.06396021490668312</v>
      </c>
      <c r="T68" s="694">
        <f t="shared" si="36"/>
      </c>
      <c r="U68" s="728">
        <f t="shared" si="37"/>
      </c>
      <c r="V68" s="694">
        <f t="shared" si="38"/>
      </c>
      <c r="W68" s="694">
        <f t="shared" si="39"/>
        <v>22</v>
      </c>
      <c r="X68" s="694">
        <f t="shared" si="40"/>
        <v>3</v>
      </c>
      <c r="AE68" s="10"/>
      <c r="AF68" s="10"/>
      <c r="AG68" s="10"/>
      <c r="AH68" s="10"/>
      <c r="AI68" s="10"/>
      <c r="AJ68" s="10"/>
      <c r="AK68" s="10"/>
      <c r="AL68" s="10"/>
      <c r="AM68" s="10"/>
      <c r="AN68" s="10"/>
      <c r="AO68" s="10"/>
    </row>
    <row r="69" spans="2:41" ht="13.5" thickBot="1">
      <c r="B69" s="116" t="s">
        <v>248</v>
      </c>
      <c r="C69" s="156">
        <f>C62/4.356</f>
        <v>13.774104683195592</v>
      </c>
      <c r="D69" s="162" t="s">
        <v>78</v>
      </c>
      <c r="E69" s="572">
        <f>E62*2.54</f>
        <v>30.48</v>
      </c>
      <c r="F69" s="573" t="s">
        <v>115</v>
      </c>
      <c r="G69" s="162" t="s">
        <v>3</v>
      </c>
      <c r="H69" s="171">
        <f>IF(E69&gt;0,(((H72)^2)*3.14159),"")</f>
        <v>52.973181950198395</v>
      </c>
      <c r="I69" s="159" t="s">
        <v>80</v>
      </c>
      <c r="J69" s="157"/>
      <c r="R69" s="694">
        <f t="shared" si="41"/>
        <v>25</v>
      </c>
      <c r="S69" s="694">
        <f t="shared" si="35"/>
        <v>0.06</v>
      </c>
      <c r="T69" s="694">
        <f t="shared" si="36"/>
      </c>
      <c r="U69" s="728">
        <f t="shared" si="37"/>
      </c>
      <c r="V69" s="694">
        <f t="shared" si="38"/>
      </c>
      <c r="W69" s="694">
        <f t="shared" si="39"/>
        <v>25</v>
      </c>
      <c r="X69" s="694">
        <f t="shared" si="40"/>
        <v>3</v>
      </c>
      <c r="AE69" s="10"/>
      <c r="AF69" s="10"/>
      <c r="AG69" s="10"/>
      <c r="AH69" s="10"/>
      <c r="AI69" s="10"/>
      <c r="AJ69" s="10"/>
      <c r="AK69" s="10"/>
      <c r="AL69" s="10"/>
      <c r="AM69" s="10"/>
      <c r="AN69" s="10"/>
      <c r="AO69" s="10"/>
    </row>
    <row r="70" spans="2:41" ht="13.5" thickBot="1">
      <c r="B70" s="118" t="s">
        <v>218</v>
      </c>
      <c r="C70" s="568">
        <f>IF(E69="","",C69/((E69/100/2)^2*3.14159))</f>
        <v>188.7747654917404</v>
      </c>
      <c r="D70" s="161" t="s">
        <v>3</v>
      </c>
      <c r="E70" s="161" t="s">
        <v>3</v>
      </c>
      <c r="F70" s="161" t="s">
        <v>3</v>
      </c>
      <c r="G70" s="117" t="s">
        <v>99</v>
      </c>
      <c r="H70" s="172">
        <f>IF(E69&gt;0,(H69/10000),"")</f>
        <v>0.005297318195019839</v>
      </c>
      <c r="I70" s="115" t="s">
        <v>163</v>
      </c>
      <c r="J70" s="121"/>
      <c r="K70" s="682" t="s">
        <v>160</v>
      </c>
      <c r="L70" s="675"/>
      <c r="M70" s="675"/>
      <c r="N70" s="676"/>
      <c r="R70" s="694">
        <f t="shared" si="41"/>
        <v>28</v>
      </c>
      <c r="S70" s="694">
        <f t="shared" si="35"/>
        <v>0.05669467095138408</v>
      </c>
      <c r="T70" s="694">
        <f t="shared" si="36"/>
        <v>90.66037037037027</v>
      </c>
      <c r="U70" s="728">
        <f t="shared" si="37"/>
        <v>0.019639610121239326</v>
      </c>
      <c r="V70" s="694">
        <f t="shared" si="38"/>
        <v>349.3207407407406</v>
      </c>
      <c r="W70" s="694">
        <f t="shared" si="39"/>
        <v>28</v>
      </c>
      <c r="X70" s="694">
        <f t="shared" si="40"/>
        <v>3</v>
      </c>
      <c r="AE70" s="10"/>
      <c r="AF70" s="10"/>
      <c r="AG70" s="10"/>
      <c r="AH70" s="10"/>
      <c r="AI70" s="10"/>
      <c r="AJ70" s="10"/>
      <c r="AK70" s="10"/>
      <c r="AL70" s="10"/>
      <c r="AM70" s="10"/>
      <c r="AN70" s="10"/>
      <c r="AO70" s="10"/>
    </row>
    <row r="71" spans="2:41" ht="13.5" thickBot="1">
      <c r="B71" s="163"/>
      <c r="C71" s="159"/>
      <c r="D71" s="159"/>
      <c r="E71" s="165" t="s">
        <v>182</v>
      </c>
      <c r="F71" s="160" t="s">
        <v>81</v>
      </c>
      <c r="G71" s="159" t="s">
        <v>3</v>
      </c>
      <c r="H71" s="115"/>
      <c r="I71" s="159"/>
      <c r="J71" s="157"/>
      <c r="K71" s="677" t="s">
        <v>256</v>
      </c>
      <c r="L71" s="680"/>
      <c r="M71" s="680"/>
      <c r="N71" s="681"/>
      <c r="R71" s="694">
        <f t="shared" si="41"/>
        <v>31</v>
      </c>
      <c r="S71" s="694">
        <f t="shared" si="35"/>
        <v>0.05388159060803247</v>
      </c>
      <c r="T71" s="694">
        <f t="shared" si="36"/>
        <v>50.18699074074076</v>
      </c>
      <c r="U71" s="728">
        <f t="shared" si="37"/>
        <v>0.026396480703843588</v>
      </c>
      <c r="V71" s="694">
        <f t="shared" si="38"/>
        <v>286.3739814814815</v>
      </c>
      <c r="W71" s="694">
        <f t="shared" si="39"/>
        <v>31</v>
      </c>
      <c r="X71" s="694">
        <f t="shared" si="40"/>
        <v>3</v>
      </c>
      <c r="AE71" s="10"/>
      <c r="AF71" s="10"/>
      <c r="AG71" s="10"/>
      <c r="AH71" s="10"/>
      <c r="AI71" s="10"/>
      <c r="AJ71" s="10"/>
      <c r="AK71" s="10"/>
      <c r="AL71" s="10"/>
      <c r="AM71" s="10"/>
      <c r="AN71" s="10"/>
      <c r="AO71" s="10"/>
    </row>
    <row r="72" spans="2:41" ht="13.5" thickBot="1">
      <c r="B72" s="114"/>
      <c r="C72" s="570" t="s">
        <v>247</v>
      </c>
      <c r="D72" s="170">
        <f>(10000/C69)</f>
        <v>726</v>
      </c>
      <c r="E72" s="117" t="s">
        <v>155</v>
      </c>
      <c r="F72" s="166">
        <f>SQRT(10000/(C69))/2/100</f>
        <v>0.1347219358530748</v>
      </c>
      <c r="G72" s="133" t="s">
        <v>3</v>
      </c>
      <c r="H72" s="168">
        <f>IF(E69&gt;0,(F72*E$69),"")</f>
        <v>4.10632460480172</v>
      </c>
      <c r="I72" s="87" t="s">
        <v>187</v>
      </c>
      <c r="J72" s="121"/>
      <c r="R72" s="694">
        <f t="shared" si="41"/>
        <v>34</v>
      </c>
      <c r="S72" s="694">
        <f t="shared" si="35"/>
        <v>0.051449575542752646</v>
      </c>
      <c r="T72" s="694">
        <f t="shared" si="36"/>
        <v>36.69586419753085</v>
      </c>
      <c r="U72" s="728">
        <f t="shared" si="37"/>
        <v>0.030869745325651596</v>
      </c>
      <c r="V72" s="694">
        <f t="shared" si="38"/>
        <v>277.3917283950617</v>
      </c>
      <c r="W72" s="694">
        <f t="shared" si="39"/>
        <v>34</v>
      </c>
      <c r="X72" s="694">
        <f t="shared" si="40"/>
        <v>3</v>
      </c>
      <c r="AE72" s="10"/>
      <c r="AF72" s="10"/>
      <c r="AG72" s="10"/>
      <c r="AH72" s="10"/>
      <c r="AI72" s="10"/>
      <c r="AJ72" s="10"/>
      <c r="AK72" s="10"/>
      <c r="AL72" s="10"/>
      <c r="AM72" s="10"/>
      <c r="AN72" s="10"/>
      <c r="AO72" s="10"/>
    </row>
    <row r="73" spans="2:41" ht="13.5" thickBot="1">
      <c r="B73" s="492" t="s">
        <v>220</v>
      </c>
      <c r="C73" s="724">
        <f>2*DEGREES(ASIN(1/SQRT(D72)))</f>
        <v>4.2538685783306756</v>
      </c>
      <c r="D73" s="89" t="s">
        <v>219</v>
      </c>
      <c r="E73" s="161" t="s">
        <v>156</v>
      </c>
      <c r="F73" s="167">
        <f>F72-(1/200)</f>
        <v>0.1297219358530748</v>
      </c>
      <c r="G73" s="164" t="s">
        <v>3</v>
      </c>
      <c r="H73" s="174">
        <f>IF(E69&gt;0,F73*E69,"")</f>
        <v>3.9539246048017196</v>
      </c>
      <c r="I73" s="89" t="s">
        <v>188</v>
      </c>
      <c r="J73" s="138"/>
      <c r="K73" s="574" t="s">
        <v>3</v>
      </c>
      <c r="R73" s="694">
        <f t="shared" si="41"/>
        <v>37</v>
      </c>
      <c r="S73" s="694">
        <f t="shared" si="35"/>
        <v>0.049319696191607185</v>
      </c>
      <c r="T73" s="694">
        <f t="shared" si="36"/>
        <v>29.950300925925927</v>
      </c>
      <c r="U73" s="728">
        <f t="shared" si="37"/>
        <v>0.034169687847089965</v>
      </c>
      <c r="V73" s="694">
        <f t="shared" si="38"/>
        <v>281.90060185185183</v>
      </c>
      <c r="W73" s="694">
        <f t="shared" si="39"/>
        <v>37</v>
      </c>
      <c r="X73" s="694">
        <f t="shared" si="40"/>
        <v>3</v>
      </c>
      <c r="AE73" s="10"/>
      <c r="AF73" s="10"/>
      <c r="AG73" s="10"/>
      <c r="AH73" s="10"/>
      <c r="AI73" s="10"/>
      <c r="AJ73" s="10"/>
      <c r="AK73" s="10"/>
      <c r="AL73" s="10"/>
      <c r="AM73" s="10"/>
      <c r="AN73" s="10"/>
      <c r="AO73" s="10"/>
    </row>
    <row r="74" spans="18:41" ht="12.75">
      <c r="R74" s="694">
        <f t="shared" si="41"/>
        <v>40</v>
      </c>
      <c r="S74" s="694">
        <f t="shared" si="35"/>
        <v>0.04743416490252569</v>
      </c>
      <c r="T74" s="694">
        <f t="shared" si="36"/>
        <v>25.902962962962963</v>
      </c>
      <c r="U74" s="728">
        <f t="shared" si="37"/>
        <v>0.03674234614174767</v>
      </c>
      <c r="V74" s="694">
        <f t="shared" si="38"/>
        <v>291.8059259259259</v>
      </c>
      <c r="W74" s="694">
        <f t="shared" si="39"/>
        <v>40</v>
      </c>
      <c r="X74" s="694">
        <f t="shared" si="40"/>
        <v>3</v>
      </c>
      <c r="AE74" s="10"/>
      <c r="AF74" s="10"/>
      <c r="AG74" s="10"/>
      <c r="AH74" s="10"/>
      <c r="AI74" s="10"/>
      <c r="AJ74" s="10"/>
      <c r="AK74" s="10"/>
      <c r="AL74" s="10"/>
      <c r="AM74" s="10"/>
      <c r="AN74" s="10"/>
      <c r="AO74" s="10"/>
    </row>
    <row r="75" spans="18:41" ht="13.5" thickBot="1">
      <c r="R75" s="694">
        <f t="shared" si="41"/>
        <v>43</v>
      </c>
      <c r="S75" s="694">
        <f t="shared" si="35"/>
        <v>0.0457495710997814</v>
      </c>
      <c r="T75" s="694">
        <f t="shared" si="36"/>
        <v>23.204737654320997</v>
      </c>
      <c r="U75" s="728">
        <f t="shared" si="37"/>
        <v>0.038819798353237824</v>
      </c>
      <c r="V75" s="694">
        <f t="shared" si="38"/>
        <v>304.409475308642</v>
      </c>
      <c r="W75" s="694">
        <f t="shared" si="39"/>
        <v>43</v>
      </c>
      <c r="X75" s="694">
        <f t="shared" si="40"/>
        <v>3</v>
      </c>
      <c r="AE75" s="10"/>
      <c r="AF75" s="10"/>
      <c r="AG75" s="10"/>
      <c r="AH75" s="10"/>
      <c r="AI75" s="10"/>
      <c r="AJ75" s="10"/>
      <c r="AK75" s="10"/>
      <c r="AL75" s="10"/>
      <c r="AM75" s="10"/>
      <c r="AN75" s="10"/>
      <c r="AO75" s="10"/>
    </row>
    <row r="76" spans="1:41" ht="12.75">
      <c r="A76" s="686">
        <v>7</v>
      </c>
      <c r="B76" s="553" t="s">
        <v>143</v>
      </c>
      <c r="C76" s="554"/>
      <c r="D76" s="554"/>
      <c r="E76" s="554"/>
      <c r="F76" s="554"/>
      <c r="G76" s="554"/>
      <c r="H76" s="555"/>
      <c r="I76" s="576" t="s">
        <v>3</v>
      </c>
      <c r="R76" s="694">
        <f t="shared" si="41"/>
        <v>46</v>
      </c>
      <c r="S76" s="694">
        <f t="shared" si="35"/>
        <v>0.044232586846469135</v>
      </c>
      <c r="T76" s="694">
        <f t="shared" si="36"/>
        <v>21.27743386243386</v>
      </c>
      <c r="U76" s="728">
        <f t="shared" si="37"/>
        <v>0.040539835481530576</v>
      </c>
      <c r="V76" s="694">
        <f t="shared" si="38"/>
        <v>318.55486772486773</v>
      </c>
      <c r="W76" s="694">
        <f t="shared" si="39"/>
        <v>46</v>
      </c>
      <c r="X76" s="694">
        <f t="shared" si="40"/>
        <v>3</v>
      </c>
      <c r="AE76" s="10"/>
      <c r="AF76" s="10"/>
      <c r="AG76" s="10"/>
      <c r="AH76" s="10"/>
      <c r="AI76" s="10"/>
      <c r="AJ76" s="10"/>
      <c r="AK76" s="10"/>
      <c r="AL76" s="10"/>
      <c r="AM76" s="10"/>
      <c r="AN76" s="10"/>
      <c r="AO76" s="10"/>
    </row>
    <row r="77" spans="2:41" ht="12.75">
      <c r="B77" s="587" t="s">
        <v>222</v>
      </c>
      <c r="C77" s="556"/>
      <c r="D77" s="556"/>
      <c r="E77" s="556"/>
      <c r="F77" s="556"/>
      <c r="G77" s="556" t="s">
        <v>82</v>
      </c>
      <c r="H77" s="557"/>
      <c r="R77" s="694">
        <f t="shared" si="41"/>
        <v>49</v>
      </c>
      <c r="S77" s="694">
        <f t="shared" si="35"/>
        <v>0.04285714285714286</v>
      </c>
      <c r="T77" s="694">
        <f t="shared" si="36"/>
        <v>19.83195601851852</v>
      </c>
      <c r="U77" s="728">
        <f t="shared" si="37"/>
        <v>0.04199125273342591</v>
      </c>
      <c r="V77" s="694">
        <f t="shared" si="38"/>
        <v>333.66391203703705</v>
      </c>
      <c r="W77" s="694">
        <f t="shared" si="39"/>
        <v>49</v>
      </c>
      <c r="X77" s="694">
        <f t="shared" si="40"/>
        <v>3</v>
      </c>
      <c r="AE77" s="10"/>
      <c r="AF77" s="10"/>
      <c r="AG77" s="10"/>
      <c r="AH77" s="10"/>
      <c r="AI77" s="10"/>
      <c r="AJ77" s="10"/>
      <c r="AK77" s="10"/>
      <c r="AL77" s="10"/>
      <c r="AM77" s="10"/>
      <c r="AN77" s="10"/>
      <c r="AO77" s="10"/>
    </row>
    <row r="78" spans="2:41" ht="12.75">
      <c r="B78" s="564" t="s">
        <v>205</v>
      </c>
      <c r="C78" s="562">
        <v>0.078</v>
      </c>
      <c r="D78" s="558" t="s">
        <v>83</v>
      </c>
      <c r="E78" s="74">
        <v>30</v>
      </c>
      <c r="F78" s="558" t="s">
        <v>84</v>
      </c>
      <c r="G78" s="561">
        <f>(C78*SQRT(E78))</f>
        <v>0.42722359485402955</v>
      </c>
      <c r="H78" s="557" t="s">
        <v>85</v>
      </c>
      <c r="R78" s="694">
        <f t="shared" si="41"/>
        <v>52</v>
      </c>
      <c r="S78" s="694">
        <f t="shared" si="35"/>
        <v>0.041602514716892185</v>
      </c>
      <c r="T78" s="694">
        <f t="shared" si="36"/>
        <v>18.70769547325103</v>
      </c>
      <c r="U78" s="728">
        <f t="shared" si="37"/>
        <v>0.043234601527373524</v>
      </c>
      <c r="V78" s="694">
        <f t="shared" si="38"/>
        <v>349.41539094650204</v>
      </c>
      <c r="W78" s="694">
        <f t="shared" si="39"/>
        <v>52</v>
      </c>
      <c r="X78" s="694">
        <f t="shared" si="40"/>
        <v>3</v>
      </c>
      <c r="AE78" s="10"/>
      <c r="AF78" s="10"/>
      <c r="AG78" s="10"/>
      <c r="AH78" s="10"/>
      <c r="AI78" s="10"/>
      <c r="AJ78" s="10"/>
      <c r="AK78" s="10"/>
      <c r="AL78" s="10"/>
      <c r="AM78" s="10"/>
      <c r="AN78" s="10"/>
      <c r="AO78" s="10"/>
    </row>
    <row r="79" spans="2:41" ht="12.75">
      <c r="B79" s="564" t="s">
        <v>206</v>
      </c>
      <c r="C79" s="595">
        <f>SQRT(C80^2-C78^2)</f>
        <v>0.02529822128134705</v>
      </c>
      <c r="D79" s="558" t="s">
        <v>136</v>
      </c>
      <c r="E79" s="74">
        <v>120</v>
      </c>
      <c r="F79" s="559" t="s">
        <v>86</v>
      </c>
      <c r="G79" s="561">
        <f>SQRT((C80^2)-C78^2)*(SQRT(E79))</f>
        <v>0.27712812921102054</v>
      </c>
      <c r="H79" s="557" t="s">
        <v>85</v>
      </c>
      <c r="R79" s="694">
        <f t="shared" si="41"/>
        <v>55</v>
      </c>
      <c r="S79" s="694">
        <f t="shared" si="35"/>
        <v>0.04045199174779452</v>
      </c>
      <c r="T79" s="694">
        <f t="shared" si="36"/>
        <v>17.808287037037033</v>
      </c>
      <c r="U79" s="728">
        <f t="shared" si="37"/>
        <v>0.04431293675255979</v>
      </c>
      <c r="V79" s="694">
        <f t="shared" si="38"/>
        <v>365.61657407407404</v>
      </c>
      <c r="W79" s="694">
        <f t="shared" si="39"/>
        <v>55</v>
      </c>
      <c r="X79" s="694">
        <f t="shared" si="40"/>
        <v>3</v>
      </c>
      <c r="AE79" s="10"/>
      <c r="AF79" s="10"/>
      <c r="AG79" s="10"/>
      <c r="AH79" s="10"/>
      <c r="AI79" s="10"/>
      <c r="AJ79" s="10"/>
      <c r="AK79" s="10"/>
      <c r="AL79" s="10"/>
      <c r="AM79" s="10"/>
      <c r="AN79" s="10"/>
      <c r="AO79" s="10"/>
    </row>
    <row r="80" spans="2:41" ht="13.5" thickBot="1">
      <c r="B80" s="565" t="s">
        <v>207</v>
      </c>
      <c r="C80" s="563">
        <v>0.082</v>
      </c>
      <c r="D80" s="560"/>
      <c r="E80" s="560"/>
      <c r="F80" s="560"/>
      <c r="G80" s="560"/>
      <c r="H80" s="238"/>
      <c r="R80" s="694">
        <f t="shared" si="41"/>
        <v>58</v>
      </c>
      <c r="S80" s="694">
        <f t="shared" si="35"/>
        <v>0.039391929857916765</v>
      </c>
      <c r="T80" s="694">
        <f t="shared" si="36"/>
        <v>17.072407407407404</v>
      </c>
      <c r="U80" s="728">
        <f t="shared" si="37"/>
        <v>0.04525788176736695</v>
      </c>
      <c r="V80" s="694">
        <f t="shared" si="38"/>
        <v>382.1448148148148</v>
      </c>
      <c r="W80" s="694">
        <f t="shared" si="39"/>
        <v>58</v>
      </c>
      <c r="X80" s="694">
        <f t="shared" si="40"/>
        <v>3</v>
      </c>
      <c r="AE80" s="10"/>
      <c r="AF80" s="10"/>
      <c r="AG80" s="10"/>
      <c r="AH80" s="10"/>
      <c r="AI80" s="10"/>
      <c r="AJ80" s="10"/>
      <c r="AK80" s="10"/>
      <c r="AL80" s="10"/>
      <c r="AM80" s="10"/>
      <c r="AN80" s="10"/>
      <c r="AO80" s="10"/>
    </row>
    <row r="81" spans="18:41" ht="13.5" thickBot="1">
      <c r="R81" s="694">
        <f t="shared" si="41"/>
        <v>61</v>
      </c>
      <c r="S81" s="694">
        <f t="shared" si="35"/>
        <v>0.03841106397986879</v>
      </c>
      <c r="T81" s="694">
        <f t="shared" si="36"/>
        <v>16.45917438271605</v>
      </c>
      <c r="U81" s="728">
        <f t="shared" si="37"/>
        <v>0.046093276775842545</v>
      </c>
      <c r="V81" s="694">
        <f t="shared" si="38"/>
        <v>398.9183487654321</v>
      </c>
      <c r="W81" s="694">
        <f t="shared" si="39"/>
        <v>61</v>
      </c>
      <c r="X81" s="694">
        <f t="shared" si="40"/>
        <v>3</v>
      </c>
      <c r="AE81" s="10"/>
      <c r="AF81" s="10"/>
      <c r="AG81" s="10"/>
      <c r="AH81" s="10"/>
      <c r="AI81" s="10"/>
      <c r="AJ81" s="10"/>
      <c r="AK81" s="10"/>
      <c r="AL81" s="10"/>
      <c r="AM81" s="10"/>
      <c r="AN81" s="10"/>
      <c r="AO81" s="10"/>
    </row>
    <row r="82" spans="1:41" ht="14.25" thickBot="1" thickTop="1">
      <c r="A82" s="686">
        <v>8</v>
      </c>
      <c r="B82" s="521" t="s">
        <v>244</v>
      </c>
      <c r="C82" s="522"/>
      <c r="D82" s="522"/>
      <c r="E82" s="522"/>
      <c r="F82" s="522"/>
      <c r="G82" s="522"/>
      <c r="H82" s="522"/>
      <c r="I82" s="523"/>
      <c r="AE82" s="10"/>
      <c r="AF82" s="10"/>
      <c r="AG82" s="10"/>
      <c r="AH82" s="10"/>
      <c r="AI82" s="10"/>
      <c r="AJ82" s="10"/>
      <c r="AK82" s="10"/>
      <c r="AL82" s="10"/>
      <c r="AM82" s="10"/>
      <c r="AN82" s="10"/>
      <c r="AO82" s="10"/>
    </row>
    <row r="83" spans="2:41" ht="13.5" thickTop="1">
      <c r="B83" s="524"/>
      <c r="C83" s="525" t="s">
        <v>0</v>
      </c>
      <c r="D83" s="525"/>
      <c r="E83" s="525" t="s">
        <v>1</v>
      </c>
      <c r="F83" s="525"/>
      <c r="G83" s="525"/>
      <c r="H83" s="525" t="s">
        <v>2</v>
      </c>
      <c r="I83" s="526"/>
      <c r="K83" s="11"/>
      <c r="L83" s="11"/>
      <c r="M83" s="11"/>
      <c r="N83" s="11"/>
      <c r="O83" s="11"/>
      <c r="AE83" s="10"/>
      <c r="AF83" s="10"/>
      <c r="AG83" s="10"/>
      <c r="AH83" s="10"/>
      <c r="AI83" s="10"/>
      <c r="AJ83" s="10"/>
      <c r="AK83" s="10"/>
      <c r="AL83" s="10"/>
      <c r="AM83" s="10"/>
      <c r="AN83" s="10"/>
      <c r="AO83" s="10"/>
    </row>
    <row r="84" spans="2:41" ht="12.75">
      <c r="B84" s="598" t="s">
        <v>223</v>
      </c>
      <c r="C84" s="528">
        <f>C3</f>
        <v>0.3</v>
      </c>
      <c r="D84" s="529" t="s">
        <v>3</v>
      </c>
      <c r="E84" s="530">
        <f>E3</f>
        <v>6</v>
      </c>
      <c r="F84" s="529" t="s">
        <v>4</v>
      </c>
      <c r="G84" s="529"/>
      <c r="H84" s="531">
        <f aca="true" t="shared" si="42" ref="H84:I87">H3</f>
        <v>0</v>
      </c>
      <c r="I84" s="713" t="str">
        <f t="shared" si="42"/>
        <v>comment 1</v>
      </c>
      <c r="K84" s="11"/>
      <c r="L84" s="11"/>
      <c r="M84" s="11"/>
      <c r="N84" s="11"/>
      <c r="O84" s="11"/>
      <c r="AE84" s="10"/>
      <c r="AF84" s="10"/>
      <c r="AG84" s="10"/>
      <c r="AH84" s="10"/>
      <c r="AI84" s="10"/>
      <c r="AJ84" s="10"/>
      <c r="AK84" s="10"/>
      <c r="AL84" s="10"/>
      <c r="AM84" s="10"/>
      <c r="AN84" s="10"/>
      <c r="AO84" s="10"/>
    </row>
    <row r="85" spans="2:41" ht="12.75">
      <c r="B85" s="527"/>
      <c r="C85" s="529"/>
      <c r="D85" s="529"/>
      <c r="E85" s="529" t="s">
        <v>3</v>
      </c>
      <c r="F85" s="529"/>
      <c r="G85" s="529"/>
      <c r="H85" s="531">
        <f t="shared" si="42"/>
        <v>0</v>
      </c>
      <c r="I85" s="713" t="str">
        <f t="shared" si="42"/>
        <v> comment 2</v>
      </c>
      <c r="K85" s="11"/>
      <c r="L85" s="11"/>
      <c r="M85" s="11"/>
      <c r="N85" s="11"/>
      <c r="O85" s="11"/>
      <c r="AE85" s="10"/>
      <c r="AF85" s="10"/>
      <c r="AG85" s="10"/>
      <c r="AH85" s="10"/>
      <c r="AI85" s="10"/>
      <c r="AJ85" s="10"/>
      <c r="AK85" s="10"/>
      <c r="AL85" s="10"/>
      <c r="AM85" s="10"/>
      <c r="AN85" s="10"/>
      <c r="AO85" s="10"/>
    </row>
    <row r="86" spans="1:41" ht="13.5" thickBot="1">
      <c r="A86" s="5"/>
      <c r="B86" s="599" t="s">
        <v>224</v>
      </c>
      <c r="C86" s="528">
        <f>C5</f>
        <v>0.187</v>
      </c>
      <c r="D86" s="529" t="s">
        <v>3</v>
      </c>
      <c r="E86" s="530">
        <f>E5</f>
        <v>2</v>
      </c>
      <c r="F86" s="529" t="s">
        <v>5</v>
      </c>
      <c r="G86" s="529"/>
      <c r="H86" s="533">
        <f t="shared" si="42"/>
        <v>0</v>
      </c>
      <c r="I86" s="713" t="str">
        <f t="shared" si="42"/>
        <v> comment 3</v>
      </c>
      <c r="K86" s="11"/>
      <c r="L86" s="11"/>
      <c r="M86" s="11"/>
      <c r="N86" s="11"/>
      <c r="O86" s="11"/>
      <c r="AE86" s="10"/>
      <c r="AF86" s="10"/>
      <c r="AG86" s="10"/>
      <c r="AH86" s="10"/>
      <c r="AI86" s="10"/>
      <c r="AJ86" s="10"/>
      <c r="AK86" s="10"/>
      <c r="AL86" s="10"/>
      <c r="AM86" s="10"/>
      <c r="AN86" s="10"/>
      <c r="AO86" s="10"/>
    </row>
    <row r="87" spans="1:41" ht="14.25" thickBot="1" thickTop="1">
      <c r="A87" s="5"/>
      <c r="B87" s="527" t="s">
        <v>3</v>
      </c>
      <c r="C87" s="529" t="s">
        <v>3</v>
      </c>
      <c r="D87" s="529" t="s">
        <v>3</v>
      </c>
      <c r="E87" s="529" t="s">
        <v>3</v>
      </c>
      <c r="F87" s="534" t="s">
        <v>3</v>
      </c>
      <c r="G87" s="529" t="s">
        <v>3</v>
      </c>
      <c r="H87" s="535">
        <f t="shared" si="42"/>
        <v>0</v>
      </c>
      <c r="I87" s="536" t="str">
        <f t="shared" si="42"/>
        <v>= total</v>
      </c>
      <c r="K87" s="11"/>
      <c r="L87" s="11"/>
      <c r="M87" s="11"/>
      <c r="N87" s="11"/>
      <c r="O87" s="11"/>
      <c r="AE87" s="10"/>
      <c r="AF87" s="10"/>
      <c r="AG87" s="10"/>
      <c r="AH87" s="10"/>
      <c r="AI87" s="10"/>
      <c r="AJ87" s="10"/>
      <c r="AK87" s="10"/>
      <c r="AL87" s="10"/>
      <c r="AM87" s="10"/>
      <c r="AN87" s="10"/>
      <c r="AO87" s="10"/>
    </row>
    <row r="88" spans="1:41" ht="13.5" thickBot="1">
      <c r="A88" s="5"/>
      <c r="B88" s="527"/>
      <c r="C88" s="529"/>
      <c r="D88" s="537" t="s">
        <v>196</v>
      </c>
      <c r="E88" s="538" t="e">
        <f>C15/C16</f>
        <v>#DIV/0!</v>
      </c>
      <c r="F88" s="529" t="s">
        <v>119</v>
      </c>
      <c r="G88" s="529"/>
      <c r="H88" s="529"/>
      <c r="I88" s="539"/>
      <c r="AE88" s="10"/>
      <c r="AF88" s="10"/>
      <c r="AG88" s="10"/>
      <c r="AH88" s="10"/>
      <c r="AI88" s="10"/>
      <c r="AJ88" s="10"/>
      <c r="AK88" s="10"/>
      <c r="AL88" s="10"/>
      <c r="AM88" s="10"/>
      <c r="AN88" s="10"/>
      <c r="AO88" s="10"/>
    </row>
    <row r="89" spans="1:41" ht="12.75">
      <c r="A89" s="5"/>
      <c r="B89" s="527"/>
      <c r="C89" s="529"/>
      <c r="D89" s="529"/>
      <c r="E89" s="540"/>
      <c r="F89" s="541"/>
      <c r="G89" s="542" t="s">
        <v>198</v>
      </c>
      <c r="H89" s="540">
        <f>C15</f>
        <v>0</v>
      </c>
      <c r="I89" s="539"/>
      <c r="AE89" s="10"/>
      <c r="AF89" s="10"/>
      <c r="AG89" s="10"/>
      <c r="AH89" s="10"/>
      <c r="AI89" s="10"/>
      <c r="AJ89" s="10"/>
      <c r="AK89" s="10"/>
      <c r="AL89" s="10"/>
      <c r="AM89" s="10"/>
      <c r="AN89" s="10"/>
      <c r="AO89" s="10"/>
    </row>
    <row r="90" spans="1:41" ht="12.75">
      <c r="A90" s="5"/>
      <c r="B90" s="532" t="s">
        <v>7</v>
      </c>
      <c r="C90" s="529"/>
      <c r="D90" s="543">
        <f>D9</f>
        <v>0.06</v>
      </c>
      <c r="E90" s="529" t="s">
        <v>3</v>
      </c>
      <c r="F90" s="529"/>
      <c r="G90" s="542" t="s">
        <v>197</v>
      </c>
      <c r="H90" s="540">
        <f>C16</f>
        <v>0</v>
      </c>
      <c r="I90" s="539"/>
      <c r="AE90" s="10"/>
      <c r="AF90" s="10"/>
      <c r="AG90" s="10"/>
      <c r="AH90" s="10"/>
      <c r="AI90" s="10"/>
      <c r="AJ90" s="10"/>
      <c r="AK90" s="10"/>
      <c r="AL90" s="10"/>
      <c r="AM90" s="10"/>
      <c r="AN90" s="10"/>
      <c r="AO90" s="10"/>
    </row>
    <row r="91" spans="1:41" ht="12.75">
      <c r="A91" s="5"/>
      <c r="B91" s="527" t="s">
        <v>3</v>
      </c>
      <c r="C91" s="529"/>
      <c r="D91" s="529"/>
      <c r="E91" s="529"/>
      <c r="F91" s="529"/>
      <c r="G91" s="529"/>
      <c r="H91" s="529"/>
      <c r="I91" s="539"/>
      <c r="AE91" s="10"/>
      <c r="AF91" s="10"/>
      <c r="AG91" s="10"/>
      <c r="AH91" s="10"/>
      <c r="AI91" s="10"/>
      <c r="AJ91" s="10"/>
      <c r="AK91" s="10"/>
      <c r="AL91" s="10"/>
      <c r="AM91" s="10"/>
      <c r="AN91" s="10"/>
      <c r="AO91" s="10"/>
    </row>
    <row r="92" spans="1:41" ht="12.75">
      <c r="A92" s="5"/>
      <c r="B92" s="544" t="s">
        <v>8</v>
      </c>
      <c r="C92" s="545" t="e">
        <f>(C93*E88)</f>
        <v>#DIV/0!</v>
      </c>
      <c r="D92" s="546" t="s">
        <v>9</v>
      </c>
      <c r="E92" s="547" t="e">
        <f>(C84/(SQRT(C92)))</f>
        <v>#DIV/0!</v>
      </c>
      <c r="F92" s="542" t="s">
        <v>10</v>
      </c>
      <c r="G92" s="548" t="e">
        <f>(C92*E84)+(C93*E86)+H84+H85+H86</f>
        <v>#DIV/0!</v>
      </c>
      <c r="H92" s="542"/>
      <c r="I92" s="549"/>
      <c r="AE92" s="10"/>
      <c r="AF92" s="10"/>
      <c r="AG92" s="10"/>
      <c r="AH92" s="10"/>
      <c r="AI92" s="10"/>
      <c r="AJ92" s="10"/>
      <c r="AK92" s="10"/>
      <c r="AL92" s="10"/>
      <c r="AM92" s="10"/>
      <c r="AN92" s="10"/>
      <c r="AO92" s="10"/>
    </row>
    <row r="93" spans="1:41" ht="13.5" thickBot="1">
      <c r="A93" s="5"/>
      <c r="B93" s="544" t="s">
        <v>12</v>
      </c>
      <c r="C93" s="545" t="e">
        <f>((C84*C84)+(C86*C86*E88))/(D90*D90*E88)</f>
        <v>#DIV/0!</v>
      </c>
      <c r="D93" s="546" t="s">
        <v>13</v>
      </c>
      <c r="E93" s="552" t="e">
        <f>(C86/(SQRT(C93)))</f>
        <v>#DIV/0!</v>
      </c>
      <c r="F93" s="529"/>
      <c r="G93" s="529"/>
      <c r="H93" s="550"/>
      <c r="I93" s="551"/>
      <c r="AE93" s="10"/>
      <c r="AF93" s="10"/>
      <c r="AG93" s="10"/>
      <c r="AH93" s="10"/>
      <c r="AI93" s="10"/>
      <c r="AJ93" s="10"/>
      <c r="AK93" s="10"/>
      <c r="AL93" s="10"/>
      <c r="AM93" s="10"/>
      <c r="AN93" s="10"/>
      <c r="AO93" s="10"/>
    </row>
    <row r="94" spans="1:41" ht="14.25" thickBot="1" thickTop="1">
      <c r="A94" s="5"/>
      <c r="B94" s="601"/>
      <c r="C94" s="602"/>
      <c r="D94" s="603" t="s">
        <v>150</v>
      </c>
      <c r="E94" s="604" t="e">
        <f>SQRT(E93^2+E92^2)</f>
        <v>#DIV/0!</v>
      </c>
      <c r="F94" s="602"/>
      <c r="G94" s="602"/>
      <c r="H94" s="602"/>
      <c r="I94" s="605"/>
      <c r="N94" s="38"/>
      <c r="O94" s="38"/>
      <c r="P94" s="38"/>
      <c r="Q94" s="38"/>
      <c r="AE94" s="10"/>
      <c r="AF94" s="10"/>
      <c r="AG94" s="10"/>
      <c r="AH94" s="10"/>
      <c r="AI94" s="10"/>
      <c r="AJ94" s="10"/>
      <c r="AK94" s="10"/>
      <c r="AL94" s="10"/>
      <c r="AM94" s="10"/>
      <c r="AN94" s="10"/>
      <c r="AO94" s="10"/>
    </row>
    <row r="95" spans="14:41" ht="12.75">
      <c r="N95" s="38"/>
      <c r="O95" s="38"/>
      <c r="P95" s="38"/>
      <c r="Q95" s="38"/>
      <c r="AE95" s="10"/>
      <c r="AF95" s="10"/>
      <c r="AG95" s="10"/>
      <c r="AH95" s="10"/>
      <c r="AI95" s="10"/>
      <c r="AJ95" s="10"/>
      <c r="AK95" s="10"/>
      <c r="AL95" s="10"/>
      <c r="AM95" s="10"/>
      <c r="AN95" s="10"/>
      <c r="AO95" s="10"/>
    </row>
    <row r="96" spans="1:41" ht="12.75">
      <c r="A96" s="686">
        <v>9</v>
      </c>
      <c r="B96" s="619" t="s">
        <v>239</v>
      </c>
      <c r="C96" s="620"/>
      <c r="D96" s="616"/>
      <c r="E96" s="623" t="s">
        <v>237</v>
      </c>
      <c r="F96" s="614">
        <v>20</v>
      </c>
      <c r="G96" s="616"/>
      <c r="H96" s="616"/>
      <c r="I96" s="617"/>
      <c r="N96" s="38"/>
      <c r="O96" s="38"/>
      <c r="P96" s="38"/>
      <c r="Q96" s="38"/>
      <c r="AE96" s="10"/>
      <c r="AF96" s="10"/>
      <c r="AG96" s="10"/>
      <c r="AH96" s="10"/>
      <c r="AI96" s="10"/>
      <c r="AJ96" s="10"/>
      <c r="AK96" s="10"/>
      <c r="AL96" s="10"/>
      <c r="AM96" s="10"/>
      <c r="AN96" s="10"/>
      <c r="AO96" s="10"/>
    </row>
    <row r="97" spans="2:41" ht="12.75">
      <c r="B97" s="621" t="s">
        <v>238</v>
      </c>
      <c r="C97" s="622"/>
      <c r="D97" s="618"/>
      <c r="E97" s="624" t="s">
        <v>235</v>
      </c>
      <c r="F97" s="615">
        <v>30</v>
      </c>
      <c r="G97" s="618"/>
      <c r="H97" s="624" t="s">
        <v>236</v>
      </c>
      <c r="I97" s="613">
        <f>(SQRT(F96)+SQRT(F97))^2</f>
        <v>98.98979485566359</v>
      </c>
      <c r="N97" s="38"/>
      <c r="O97" s="38"/>
      <c r="P97" s="38"/>
      <c r="Q97" s="38"/>
      <c r="AE97" s="10"/>
      <c r="AF97" s="10"/>
      <c r="AG97" s="10"/>
      <c r="AH97" s="10"/>
      <c r="AI97" s="10"/>
      <c r="AJ97" s="10"/>
      <c r="AK97" s="10"/>
      <c r="AL97" s="10"/>
      <c r="AM97" s="10"/>
      <c r="AN97" s="10"/>
      <c r="AO97" s="10"/>
    </row>
    <row r="98" spans="14:41" ht="12.75">
      <c r="N98" s="38"/>
      <c r="O98" s="38"/>
      <c r="P98" s="38"/>
      <c r="Q98" s="38"/>
      <c r="AE98" s="10"/>
      <c r="AF98" s="10"/>
      <c r="AG98" s="10"/>
      <c r="AH98" s="10"/>
      <c r="AI98" s="10"/>
      <c r="AJ98" s="10"/>
      <c r="AK98" s="10"/>
      <c r="AL98" s="10"/>
      <c r="AM98" s="10"/>
      <c r="AN98" s="10"/>
      <c r="AO98" s="10"/>
    </row>
    <row r="99" spans="14:41" ht="12.75">
      <c r="N99" s="38"/>
      <c r="O99" s="38"/>
      <c r="P99" s="38"/>
      <c r="Q99" s="38"/>
      <c r="AE99" s="10"/>
      <c r="AF99" s="10"/>
      <c r="AG99" s="10"/>
      <c r="AH99" s="10"/>
      <c r="AI99" s="10"/>
      <c r="AJ99" s="10"/>
      <c r="AK99" s="10"/>
      <c r="AL99" s="10"/>
      <c r="AM99" s="10"/>
      <c r="AN99" s="10"/>
      <c r="AO99" s="10"/>
    </row>
    <row r="100" spans="1:45" s="24" customFormat="1" ht="12.75">
      <c r="A100" s="688"/>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4:41" ht="12.75">
      <c r="D101" s="339" t="s">
        <v>195</v>
      </c>
      <c r="AE101" s="10"/>
      <c r="AF101" s="10"/>
      <c r="AG101" s="10"/>
      <c r="AH101" s="10"/>
      <c r="AI101" s="10"/>
      <c r="AJ101" s="10"/>
      <c r="AK101" s="10"/>
      <c r="AL101" s="10"/>
      <c r="AM101" s="10"/>
      <c r="AN101" s="10"/>
      <c r="AO101" s="10"/>
    </row>
    <row r="102" spans="2:41" ht="13.5" thickBot="1">
      <c r="B102" s="11" t="s">
        <v>3</v>
      </c>
      <c r="G102" s="11" t="s">
        <v>3</v>
      </c>
      <c r="AE102" s="10"/>
      <c r="AF102" s="10"/>
      <c r="AG102" s="10"/>
      <c r="AH102" s="10"/>
      <c r="AI102" s="10"/>
      <c r="AJ102" s="10"/>
      <c r="AK102" s="10"/>
      <c r="AL102" s="10"/>
      <c r="AM102" s="10"/>
      <c r="AN102" s="10"/>
      <c r="AO102" s="10"/>
    </row>
    <row r="103" spans="1:41" ht="14.25" thickBot="1" thickTop="1">
      <c r="A103" s="686">
        <f>A1</f>
        <v>1</v>
      </c>
      <c r="B103" s="343" t="str">
        <f>B1</f>
        <v>                        Optimum Calculation of TC vs. *BAR plots  : Sept, 2006</v>
      </c>
      <c r="C103" s="344"/>
      <c r="D103" s="344"/>
      <c r="E103" s="344"/>
      <c r="F103" s="344"/>
      <c r="G103" s="344"/>
      <c r="H103" s="344"/>
      <c r="I103" s="345"/>
      <c r="AE103" s="10"/>
      <c r="AF103" s="10"/>
      <c r="AG103" s="10"/>
      <c r="AH103" s="10"/>
      <c r="AI103" s="10"/>
      <c r="AJ103" s="10"/>
      <c r="AK103" s="10"/>
      <c r="AL103" s="10"/>
      <c r="AM103" s="10"/>
      <c r="AN103" s="10"/>
      <c r="AO103" s="10"/>
    </row>
    <row r="104" spans="2:41" ht="12.75">
      <c r="B104" s="346"/>
      <c r="C104" s="347" t="s">
        <v>0</v>
      </c>
      <c r="D104" s="348"/>
      <c r="E104" s="347" t="str">
        <f>E2</f>
        <v>   Measurement Costs</v>
      </c>
      <c r="F104" s="348"/>
      <c r="G104" s="348"/>
      <c r="H104" s="347" t="str">
        <f>H2</f>
        <v>  Fixed costs:</v>
      </c>
      <c r="I104" s="349"/>
      <c r="AE104" s="10"/>
      <c r="AF104" s="10"/>
      <c r="AG104" s="10"/>
      <c r="AH104" s="10"/>
      <c r="AI104" s="10"/>
      <c r="AJ104" s="10"/>
      <c r="AK104" s="10"/>
      <c r="AL104" s="10"/>
      <c r="AM104" s="10"/>
      <c r="AN104" s="10"/>
      <c r="AO104" s="10"/>
    </row>
    <row r="105" spans="2:9" ht="12.75">
      <c r="B105" s="363" t="str">
        <f>B3</f>
        <v>        CV(TC)</v>
      </c>
      <c r="C105" s="221">
        <f>C3</f>
        <v>0.3</v>
      </c>
      <c r="D105" s="84" t="s">
        <v>3</v>
      </c>
      <c r="E105" s="64">
        <f>E3</f>
        <v>6</v>
      </c>
      <c r="F105" s="84" t="str">
        <f>F3</f>
        <v>= Cost (TC) </v>
      </c>
      <c r="G105" s="84"/>
      <c r="H105" s="337">
        <f>H3</f>
        <v>0</v>
      </c>
      <c r="I105" s="712" t="str">
        <f>I3</f>
        <v>comment 1</v>
      </c>
    </row>
    <row r="106" spans="2:9" ht="12.75">
      <c r="B106" s="358"/>
      <c r="C106" s="84"/>
      <c r="D106" s="84"/>
      <c r="E106" s="84" t="s">
        <v>3</v>
      </c>
      <c r="F106" s="84"/>
      <c r="G106" s="84"/>
      <c r="H106" s="337">
        <f>H4</f>
        <v>0</v>
      </c>
      <c r="I106" s="712" t="str">
        <f>I4</f>
        <v> comment 2</v>
      </c>
    </row>
    <row r="107" spans="2:9" ht="13.5" thickBot="1">
      <c r="B107" s="361" t="str">
        <f>B5</f>
        <v>         CV(*BAR)</v>
      </c>
      <c r="C107" s="221">
        <f>C5</f>
        <v>0.187</v>
      </c>
      <c r="D107" s="84" t="s">
        <v>3</v>
      </c>
      <c r="E107" s="64">
        <f>E5</f>
        <v>2</v>
      </c>
      <c r="F107" s="84" t="str">
        <f>F5</f>
        <v>= Cost (*BAR) </v>
      </c>
      <c r="G107" s="84"/>
      <c r="H107" s="338">
        <f>H5</f>
        <v>0</v>
      </c>
      <c r="I107" s="712" t="str">
        <f>I5</f>
        <v> comment 3</v>
      </c>
    </row>
    <row r="108" spans="2:9" ht="13.5" thickTop="1">
      <c r="B108" s="358" t="s">
        <v>3</v>
      </c>
      <c r="C108" s="84" t="s">
        <v>3</v>
      </c>
      <c r="D108" s="84" t="s">
        <v>3</v>
      </c>
      <c r="E108" s="84" t="s">
        <v>3</v>
      </c>
      <c r="F108" s="350" t="s">
        <v>3</v>
      </c>
      <c r="G108" s="84" t="s">
        <v>3</v>
      </c>
      <c r="H108" s="276">
        <f>H6</f>
        <v>0</v>
      </c>
      <c r="I108" s="354" t="s">
        <v>93</v>
      </c>
    </row>
    <row r="109" spans="2:9" ht="12.75">
      <c r="B109" s="362"/>
      <c r="C109" s="84"/>
      <c r="D109" s="351" t="str">
        <f aca="true" t="shared" si="43" ref="D109:F110">D7</f>
        <v>     Ratio for lowest cost answer ==&gt;</v>
      </c>
      <c r="E109" s="270">
        <f t="shared" si="43"/>
        <v>0.9262303783790788</v>
      </c>
      <c r="F109" s="84" t="str">
        <f t="shared" si="43"/>
        <v> TC per *BAR</v>
      </c>
      <c r="G109" s="84"/>
      <c r="H109" s="84"/>
      <c r="I109" s="355" t="s">
        <v>3</v>
      </c>
    </row>
    <row r="110" spans="2:9" ht="12.75">
      <c r="B110" s="362"/>
      <c r="C110" s="84"/>
      <c r="D110" s="84" t="str">
        <f t="shared" si="43"/>
        <v>which is =&gt;</v>
      </c>
      <c r="E110" s="271">
        <f t="shared" si="43"/>
        <v>1.0796450033846001</v>
      </c>
      <c r="F110" s="84" t="str">
        <f t="shared" si="43"/>
        <v> *BAR /TC</v>
      </c>
      <c r="G110" s="85"/>
      <c r="H110" s="351" t="str">
        <f aca="true" t="shared" si="44" ref="H110:I114">H8</f>
        <v>    "Big BAF" Multiplier =</v>
      </c>
      <c r="I110" s="277">
        <f t="shared" si="44"/>
        <v>5.5573822702744735</v>
      </c>
    </row>
    <row r="111" spans="2:9" ht="12.75">
      <c r="B111" s="361"/>
      <c r="C111" s="612" t="str">
        <f>C9</f>
        <v>  Desired SEc% (Total)==&gt;</v>
      </c>
      <c r="D111" s="221">
        <f>D9</f>
        <v>0.06</v>
      </c>
      <c r="E111" s="84" t="s">
        <v>3</v>
      </c>
      <c r="F111" s="84"/>
      <c r="G111" s="84" t="s">
        <v>3</v>
      </c>
      <c r="I111" s="355" t="s">
        <v>3</v>
      </c>
    </row>
    <row r="112" spans="2:9" ht="12.75">
      <c r="B112" s="358" t="s">
        <v>3</v>
      </c>
      <c r="C112" s="84"/>
      <c r="D112" s="84"/>
      <c r="E112" s="84"/>
      <c r="F112" s="84"/>
      <c r="G112" s="84"/>
      <c r="I112" s="355" t="s">
        <v>3</v>
      </c>
    </row>
    <row r="113" spans="2:9" ht="13.5" customHeight="1">
      <c r="B113" s="359" t="str">
        <f aca="true" t="shared" si="45" ref="B113:G113">B11</f>
        <v>n points</v>
      </c>
      <c r="C113" s="270">
        <f t="shared" si="45"/>
        <v>33.99704169487167</v>
      </c>
      <c r="D113" s="356" t="str">
        <f t="shared" si="45"/>
        <v>SE% (TC)</v>
      </c>
      <c r="E113" s="273">
        <f t="shared" si="45"/>
        <v>0.05145181397622624</v>
      </c>
      <c r="F113" s="351" t="str">
        <f t="shared" si="45"/>
        <v>Total cost</v>
      </c>
      <c r="G113" s="275">
        <f t="shared" si="45"/>
        <v>277.39172256068224</v>
      </c>
      <c r="H113" s="351" t="str">
        <f t="shared" si="44"/>
        <v>cost/point=</v>
      </c>
      <c r="I113" s="277">
        <f t="shared" si="44"/>
        <v>8.1592900067692</v>
      </c>
    </row>
    <row r="114" spans="2:9" ht="13.5" thickBot="1">
      <c r="B114" s="360" t="str">
        <f>B12</f>
        <v>n (*BAR)</v>
      </c>
      <c r="C114" s="272">
        <f>C12</f>
        <v>36.70473619572611</v>
      </c>
      <c r="D114" s="357" t="str">
        <f>D12</f>
        <v>SE% (*BAR)</v>
      </c>
      <c r="E114" s="274">
        <f>E12</f>
        <v>0.030866014296565887</v>
      </c>
      <c r="F114" s="352"/>
      <c r="G114" s="352"/>
      <c r="H114" s="353" t="str">
        <f t="shared" si="44"/>
        <v>"CVac" =&gt;      This is a kind of Total CV for the combination of points and *BAR you are using here</v>
      </c>
      <c r="I114" s="278">
        <f t="shared" si="44"/>
        <v>0.34984189300530893</v>
      </c>
    </row>
    <row r="115" spans="2:9" ht="12.75">
      <c r="B115" s="267" t="str">
        <f>B13</f>
        <v>Notes =&gt;</v>
      </c>
      <c r="C115" s="716" t="str">
        <f>C13</f>
        <v>Other notes can go in this area when they apply to the CURRENT run ............................</v>
      </c>
      <c r="D115" s="340"/>
      <c r="E115" s="340"/>
      <c r="F115" s="340"/>
      <c r="G115" s="340"/>
      <c r="H115" s="340"/>
      <c r="I115" s="340"/>
    </row>
    <row r="116" spans="2:9" ht="12.75">
      <c r="B116" s="646"/>
      <c r="C116" s="717" t="str">
        <f>H9</f>
        <v>notes 1</v>
      </c>
      <c r="D116" s="647"/>
      <c r="E116" s="647"/>
      <c r="F116" s="647"/>
      <c r="G116" s="647"/>
      <c r="H116" s="647"/>
      <c r="I116" s="647"/>
    </row>
    <row r="117" spans="2:9" ht="12.75">
      <c r="B117" s="646"/>
      <c r="C117" s="717" t="str">
        <f>H10</f>
        <v>notes 2</v>
      </c>
      <c r="D117" s="647"/>
      <c r="E117" s="647"/>
      <c r="F117" s="647"/>
      <c r="G117" s="647"/>
      <c r="H117" s="647"/>
      <c r="I117" s="647"/>
    </row>
    <row r="118" spans="2:9" ht="12.75">
      <c r="B118" s="646"/>
      <c r="C118" s="714" t="str">
        <f>I9</f>
        <v>notes 3</v>
      </c>
      <c r="D118" s="647"/>
      <c r="E118" s="647"/>
      <c r="F118" s="647"/>
      <c r="G118" s="647"/>
      <c r="H118" s="647"/>
      <c r="I118" s="647"/>
    </row>
    <row r="119" spans="2:9" ht="13.5" thickBot="1">
      <c r="B119" s="646"/>
      <c r="C119" s="715" t="str">
        <f>I10</f>
        <v> x*y etc A</v>
      </c>
      <c r="D119" s="647"/>
      <c r="E119" s="647"/>
      <c r="F119" s="647"/>
      <c r="G119" s="647"/>
      <c r="H119" s="647"/>
      <c r="I119" s="647"/>
    </row>
    <row r="120" spans="1:9" ht="12.75">
      <c r="A120" s="686">
        <f>A14</f>
        <v>2</v>
      </c>
      <c r="B120" s="364" t="str">
        <f>B14</f>
        <v>Other Options Section : (Try any combination)</v>
      </c>
      <c r="C120" s="369"/>
      <c r="D120" s="373"/>
      <c r="E120" s="369"/>
      <c r="F120" s="374"/>
      <c r="G120" s="374" t="str">
        <f>G14</f>
        <v>  "BIG BAF multiplier" =</v>
      </c>
      <c r="H120" s="374"/>
      <c r="I120" s="279" t="e">
        <f aca="true" t="shared" si="46" ref="I120:I125">I14</f>
        <v>#DIV/0!</v>
      </c>
    </row>
    <row r="121" spans="2:9" ht="12.75">
      <c r="B121" s="363" t="str">
        <f aca="true" t="shared" si="47" ref="B121:F123">B15</f>
        <v>  n points</v>
      </c>
      <c r="C121" s="175">
        <f t="shared" si="47"/>
        <v>0</v>
      </c>
      <c r="D121" s="577" t="e">
        <f t="shared" si="47"/>
        <v>#DIV/0!</v>
      </c>
      <c r="E121" s="356" t="str">
        <f t="shared" si="47"/>
        <v>SE%(TC)</v>
      </c>
      <c r="F121" s="273" t="e">
        <f t="shared" si="47"/>
        <v>#DIV/0!</v>
      </c>
      <c r="G121" s="375"/>
      <c r="H121" s="370" t="str">
        <f>H15</f>
        <v>Ave TC?=&gt;</v>
      </c>
      <c r="I121" s="323">
        <f t="shared" si="46"/>
        <v>6</v>
      </c>
    </row>
    <row r="122" spans="2:9" ht="12.75">
      <c r="B122" s="363" t="str">
        <f t="shared" si="47"/>
        <v>  n(*BAR)</v>
      </c>
      <c r="C122" s="175">
        <f t="shared" si="47"/>
        <v>0</v>
      </c>
      <c r="D122" s="577" t="e">
        <f t="shared" si="47"/>
        <v>#DIV/0!</v>
      </c>
      <c r="E122" s="370" t="str">
        <f t="shared" si="47"/>
        <v>SE%(*BAR)</v>
      </c>
      <c r="F122" s="273" t="e">
        <f t="shared" si="47"/>
        <v>#DIV/0!</v>
      </c>
      <c r="G122" s="375"/>
      <c r="H122" s="376" t="str">
        <f>H16</f>
        <v>(n*TC) =</v>
      </c>
      <c r="I122" s="280">
        <f t="shared" si="46"/>
        <v>0</v>
      </c>
    </row>
    <row r="123" spans="2:9" ht="12.75">
      <c r="B123" s="365" t="str">
        <f t="shared" si="47"/>
        <v>Ratio Efficiency</v>
      </c>
      <c r="C123" s="84" t="str">
        <f t="shared" si="47"/>
        <v>Overall</v>
      </c>
      <c r="D123" s="283" t="e">
        <f t="shared" si="47"/>
        <v>#DIV/0!</v>
      </c>
      <c r="E123" s="371" t="str">
        <f t="shared" si="47"/>
        <v>SE%(TOTAL)</v>
      </c>
      <c r="F123" s="516" t="e">
        <f t="shared" si="47"/>
        <v>#DIV/0!</v>
      </c>
      <c r="G123" s="375"/>
      <c r="H123" s="376" t="str">
        <f>H17</f>
        <v>Total TC plots =  </v>
      </c>
      <c r="I123" s="281">
        <f t="shared" si="46"/>
        <v>0</v>
      </c>
    </row>
    <row r="124" spans="2:9" ht="12.75">
      <c r="B124" s="366" t="s">
        <v>3</v>
      </c>
      <c r="C124" s="368" t="str">
        <f>C18</f>
        <v>Field</v>
      </c>
      <c r="D124" s="283" t="e">
        <f>D18</f>
        <v>#DIV/0!</v>
      </c>
      <c r="E124" s="372" t="str">
        <f>E18</f>
        <v>Cost =</v>
      </c>
      <c r="F124" s="518">
        <f>F18</f>
        <v>0</v>
      </c>
      <c r="G124" s="375"/>
      <c r="H124" s="376" t="str">
        <f>H18</f>
        <v> $/point=</v>
      </c>
      <c r="I124" s="281" t="e">
        <f t="shared" si="46"/>
        <v>#DIV/0!</v>
      </c>
    </row>
    <row r="125" spans="2:12" ht="13.5" thickBot="1">
      <c r="B125" s="487"/>
      <c r="C125" s="352"/>
      <c r="D125" s="352"/>
      <c r="E125" s="654" t="str">
        <f>E19</f>
        <v>Compared to Optimum, Total cost &amp; efficiency ratio is ==&gt;</v>
      </c>
      <c r="F125" s="285">
        <f>F19</f>
        <v>0</v>
      </c>
      <c r="G125" s="285" t="e">
        <f>G19</f>
        <v>#DIV/0!</v>
      </c>
      <c r="H125" s="377" t="str">
        <f>H19</f>
        <v>"CVac" =&gt;      This is a kind of Total CV for the combination of points and *BAR you are using here</v>
      </c>
      <c r="I125" s="282" t="e">
        <f t="shared" si="46"/>
        <v>#DIV/0!</v>
      </c>
      <c r="L125" s="20"/>
    </row>
    <row r="126" spans="1:12" ht="12.75">
      <c r="A126" s="5"/>
      <c r="L126" s="20"/>
    </row>
    <row r="127" spans="1:12" ht="13.5" thickBot="1">
      <c r="A127" s="5"/>
      <c r="L127" s="20"/>
    </row>
    <row r="128" spans="1:9" ht="12.75">
      <c r="A128" s="686">
        <f>A22</f>
        <v>3</v>
      </c>
      <c r="B128" s="378" t="str">
        <f>B22</f>
        <v>           Full Measure Comparison,  ALL trees measured,  SE% of =&gt;</v>
      </c>
      <c r="C128" s="379"/>
      <c r="D128" s="379"/>
      <c r="E128" s="379"/>
      <c r="F128" s="379"/>
      <c r="G128" s="379"/>
      <c r="H128" s="287">
        <f>H22</f>
        <v>0.06</v>
      </c>
      <c r="I128" s="382"/>
    </row>
    <row r="129" spans="2:9" ht="12.75">
      <c r="B129" s="380" t="s">
        <v>3</v>
      </c>
      <c r="C129" s="381" t="str">
        <f aca="true" t="shared" si="48" ref="C129:D131">C23</f>
        <v>number</v>
      </c>
      <c r="D129" s="381" t="str">
        <f t="shared" si="48"/>
        <v>    SE%'s</v>
      </c>
      <c r="E129" s="381"/>
      <c r="F129" s="384" t="str">
        <f>F23</f>
        <v>Ratio:</v>
      </c>
      <c r="G129" s="381"/>
      <c r="H129" s="381" t="str">
        <f>H23</f>
        <v>Ave TC?=&gt;</v>
      </c>
      <c r="I129" s="336">
        <f>I23</f>
        <v>6</v>
      </c>
    </row>
    <row r="130" spans="2:9" ht="12.75">
      <c r="B130" s="380" t="str">
        <f>B24</f>
        <v># Points</v>
      </c>
      <c r="C130" s="292">
        <f t="shared" si="48"/>
        <v>26.618935185185183</v>
      </c>
      <c r="D130" s="293">
        <f t="shared" si="48"/>
        <v>0.0581468128792342</v>
      </c>
      <c r="E130" s="388" t="str">
        <f>E24</f>
        <v>SE%(TC)</v>
      </c>
      <c r="F130" s="288">
        <f>F24</f>
        <v>0.16666666666666666</v>
      </c>
      <c r="G130" s="381" t="str">
        <f>G24</f>
        <v>TC points/ *BAR measure</v>
      </c>
      <c r="H130" s="381"/>
      <c r="I130" s="383"/>
    </row>
    <row r="131" spans="2:9" ht="12.75">
      <c r="B131" s="380" t="str">
        <f>B25</f>
        <v># (*BAR)</v>
      </c>
      <c r="C131" s="294">
        <f t="shared" si="48"/>
        <v>159.7136111111111</v>
      </c>
      <c r="D131" s="293">
        <f t="shared" si="48"/>
        <v>0.014796896701245317</v>
      </c>
      <c r="E131" s="389" t="str">
        <f>E25</f>
        <v>SE%(*BAR)</v>
      </c>
      <c r="F131" s="384" t="s">
        <v>3</v>
      </c>
      <c r="G131" s="384" t="s">
        <v>3</v>
      </c>
      <c r="H131" s="384" t="s">
        <v>3</v>
      </c>
      <c r="I131" s="383"/>
    </row>
    <row r="132" spans="2:9" ht="12.75">
      <c r="B132" s="380" t="s">
        <v>3</v>
      </c>
      <c r="C132" s="392" t="s">
        <v>3</v>
      </c>
      <c r="D132" s="295">
        <f>D26</f>
        <v>0.060000000000000005</v>
      </c>
      <c r="E132" s="390" t="str">
        <f>E26</f>
        <v>SE%(TOTAL)</v>
      </c>
      <c r="F132" s="384" t="s">
        <v>3</v>
      </c>
      <c r="G132" s="51"/>
      <c r="H132" s="385" t="str">
        <f>H26</f>
        <v>cost / point=</v>
      </c>
      <c r="I132" s="290">
        <f>I26</f>
        <v>18</v>
      </c>
    </row>
    <row r="133" spans="2:9" ht="13.5" thickBot="1">
      <c r="B133" s="393" t="str">
        <f>B27</f>
        <v>Total cost</v>
      </c>
      <c r="C133" s="296">
        <f>C27</f>
        <v>479.1408333333333</v>
      </c>
      <c r="D133" s="386" t="s">
        <v>3</v>
      </c>
      <c r="E133" s="391" t="str">
        <f>E27</f>
        <v>Cost Ratio</v>
      </c>
      <c r="F133" s="289">
        <f>F27</f>
        <v>1.727307610011746</v>
      </c>
      <c r="G133" s="386" t="s">
        <v>100</v>
      </c>
      <c r="H133" s="387"/>
      <c r="I133" s="291">
        <f>I27</f>
        <v>0.5789356766587741</v>
      </c>
    </row>
    <row r="134" spans="2:11" ht="13.5" thickBot="1">
      <c r="B134" s="10" t="s">
        <v>3</v>
      </c>
      <c r="D134" s="11" t="s">
        <v>3</v>
      </c>
      <c r="F134" s="10" t="s">
        <v>3</v>
      </c>
      <c r="H134" s="10" t="s">
        <v>3</v>
      </c>
      <c r="I134" s="10" t="s">
        <v>3</v>
      </c>
      <c r="J134" s="10" t="s">
        <v>3</v>
      </c>
      <c r="K134" s="10" t="s">
        <v>3</v>
      </c>
    </row>
    <row r="135" spans="1:11" ht="12.75">
      <c r="A135" s="686">
        <f>A29</f>
        <v>4</v>
      </c>
      <c r="B135" s="406" t="str">
        <f>B29</f>
        <v>Calculation of "Student-t" values</v>
      </c>
      <c r="C135" s="407"/>
      <c r="D135" s="407"/>
      <c r="E135" s="407"/>
      <c r="F135" s="399" t="str">
        <f>F29</f>
        <v>        Standard</v>
      </c>
      <c r="G135" s="400"/>
      <c r="I135" s="394" t="str">
        <f>I29</f>
        <v>        From part 1</v>
      </c>
      <c r="J135" s="395"/>
      <c r="K135" s="722" t="str">
        <f>K29</f>
        <v>n</v>
      </c>
    </row>
    <row r="136" spans="2:11" ht="12.75">
      <c r="B136" s="409" t="str">
        <f>B30</f>
        <v>  Conf. % =</v>
      </c>
      <c r="C136" s="321">
        <f aca="true" t="shared" si="49" ref="C136:G137">C30</f>
        <v>0.95</v>
      </c>
      <c r="D136" s="408" t="str">
        <f t="shared" si="49"/>
        <v>SE% =</v>
      </c>
      <c r="E136" s="341">
        <f t="shared" si="49"/>
        <v>0.06</v>
      </c>
      <c r="F136" s="401" t="str">
        <f t="shared" si="49"/>
        <v>Conf.</v>
      </c>
      <c r="G136" s="402" t="str">
        <f t="shared" si="49"/>
        <v>(t *  SE%)</v>
      </c>
      <c r="I136" s="396" t="str">
        <f>I30</f>
        <v>SE%(TC)=</v>
      </c>
      <c r="J136" s="398">
        <f>J30</f>
        <v>0.05145181397622624</v>
      </c>
      <c r="K136" s="580">
        <f>K30</f>
        <v>33.99704169487167</v>
      </c>
    </row>
    <row r="137" spans="2:11" ht="13.5" thickBot="1">
      <c r="B137" s="410" t="str">
        <f>B31</f>
        <v>n =</v>
      </c>
      <c r="C137" s="322">
        <f t="shared" si="49"/>
        <v>123</v>
      </c>
      <c r="D137" s="408" t="str">
        <f t="shared" si="49"/>
        <v>SE% * t =</v>
      </c>
      <c r="E137" s="293">
        <f t="shared" si="49"/>
        <v>0.11877599122607668</v>
      </c>
      <c r="F137" s="403">
        <f t="shared" si="49"/>
        <v>0.05</v>
      </c>
      <c r="G137" s="298">
        <f t="shared" si="49"/>
        <v>0.0037701548273500166</v>
      </c>
      <c r="I137" s="396" t="str">
        <f>I31</f>
        <v>SE%(*bar)=</v>
      </c>
      <c r="J137" s="398">
        <f>J31</f>
        <v>0.030866014296565887</v>
      </c>
      <c r="K137" s="581">
        <f>K31</f>
        <v>36.70473619572611</v>
      </c>
    </row>
    <row r="138" spans="2:11" ht="12.75">
      <c r="B138" s="411" t="str">
        <f>B32</f>
        <v>"t" (conf) =</v>
      </c>
      <c r="C138" s="297">
        <f>C32</f>
        <v>1.9795998537679447</v>
      </c>
      <c r="D138" s="405"/>
      <c r="E138" s="405"/>
      <c r="F138" s="403">
        <f>F32</f>
        <v>0.5</v>
      </c>
      <c r="G138" s="298">
        <f>G32</f>
        <v>0.040590361794727185</v>
      </c>
      <c r="I138" s="396" t="str">
        <f>I32</f>
        <v>SE%comb=</v>
      </c>
      <c r="J138" s="298">
        <f>J32</f>
        <v>0.06</v>
      </c>
      <c r="K138" s="39"/>
    </row>
    <row r="139" spans="2:11" ht="13.5" thickBot="1">
      <c r="B139" s="412"/>
      <c r="C139" s="413" t="s">
        <v>3</v>
      </c>
      <c r="D139" s="414" t="str">
        <f>D33</f>
        <v>notes and comments</v>
      </c>
      <c r="E139" s="342"/>
      <c r="F139" s="404">
        <f>F33</f>
        <v>0.95</v>
      </c>
      <c r="G139" s="299">
        <f>G33</f>
        <v>0.11877599122607668</v>
      </c>
      <c r="I139" s="367"/>
      <c r="J139" s="397"/>
      <c r="K139" s="39"/>
    </row>
    <row r="140" ht="13.5" thickBot="1"/>
    <row r="141" spans="1:10" ht="13.5" thickBot="1">
      <c r="A141" s="686">
        <f>A35</f>
        <v>5</v>
      </c>
      <c r="B141" s="415"/>
      <c r="C141" s="416"/>
      <c r="D141" s="416"/>
      <c r="E141" s="417" t="str">
        <f>E35</f>
        <v>ENGLISH UNITS</v>
      </c>
      <c r="F141" s="416"/>
      <c r="G141" s="416"/>
      <c r="H141" s="416"/>
      <c r="I141" s="416"/>
      <c r="J141" s="425"/>
    </row>
    <row r="142" spans="2:11" ht="14.25" thickBot="1" thickTop="1">
      <c r="B142" s="418">
        <f>B36</f>
        <v>0</v>
      </c>
      <c r="C142" s="419"/>
      <c r="D142" s="419"/>
      <c r="E142" s="419"/>
      <c r="F142" s="420" t="str">
        <f>F36</f>
        <v>Programs to compute BAF from distance to a target: </v>
      </c>
      <c r="G142" s="419"/>
      <c r="H142" s="421" t="str">
        <f aca="true" t="shared" si="50" ref="H142:J144">H36</f>
        <v>BAFe</v>
      </c>
      <c r="I142" s="333">
        <f t="shared" si="50"/>
        <v>200</v>
      </c>
      <c r="J142" s="334">
        <f t="shared" si="50"/>
        <v>200</v>
      </c>
      <c r="K142" s="10" t="s">
        <v>3</v>
      </c>
    </row>
    <row r="143" spans="2:10" ht="13.5" thickBot="1">
      <c r="B143" s="422" t="str">
        <f>B37</f>
        <v>  To calibrate an angle gauge</v>
      </c>
      <c r="C143" s="84"/>
      <c r="D143" s="84"/>
      <c r="E143" s="84"/>
      <c r="F143" s="423" t="str">
        <f>F37</f>
        <v>     BAF:</v>
      </c>
      <c r="G143" s="423"/>
      <c r="H143" s="424" t="str">
        <f t="shared" si="50"/>
        <v>target width</v>
      </c>
      <c r="I143" s="64">
        <f t="shared" si="50"/>
        <v>8.5</v>
      </c>
      <c r="J143" s="300">
        <f t="shared" si="50"/>
        <v>3.2599549495449676</v>
      </c>
    </row>
    <row r="144" spans="2:11" ht="13.5" thickBot="1">
      <c r="B144" s="427"/>
      <c r="C144" s="351" t="str">
        <f aca="true" t="shared" si="51" ref="C144:E145">C38</f>
        <v>  Width of target =</v>
      </c>
      <c r="D144" s="64">
        <f t="shared" si="51"/>
        <v>8.5</v>
      </c>
      <c r="E144" s="84" t="str">
        <f t="shared" si="51"/>
        <v>inches</v>
      </c>
      <c r="F144" s="301">
        <f>F38</f>
        <v>151.24818281210577</v>
      </c>
      <c r="G144" s="84" t="str">
        <f>G38</f>
        <v>sq. ft/ acre</v>
      </c>
      <c r="H144" s="426" t="str">
        <f t="shared" si="50"/>
        <v>distance (ft)</v>
      </c>
      <c r="I144" s="300">
        <f t="shared" si="50"/>
        <v>5.214795990470022</v>
      </c>
      <c r="J144" s="335">
        <f t="shared" si="50"/>
        <v>2</v>
      </c>
      <c r="K144" s="11"/>
    </row>
    <row r="145" spans="2:11" ht="12.75">
      <c r="B145" s="427"/>
      <c r="C145" s="351" t="str">
        <f t="shared" si="51"/>
        <v> Distance to target =</v>
      </c>
      <c r="D145" s="64">
        <f t="shared" si="51"/>
        <v>6</v>
      </c>
      <c r="E145" s="84" t="str">
        <f t="shared" si="51"/>
        <v>feet</v>
      </c>
      <c r="F145" s="84" t="s">
        <v>3</v>
      </c>
      <c r="G145" s="84" t="s">
        <v>3</v>
      </c>
      <c r="H145" s="84" t="s">
        <v>3</v>
      </c>
      <c r="I145" s="84"/>
      <c r="J145" s="436"/>
      <c r="K145" s="11" t="s">
        <v>3</v>
      </c>
    </row>
    <row r="146" spans="2:10" ht="12.75">
      <c r="B146" s="428"/>
      <c r="C146" s="351" t="str">
        <f>C40</f>
        <v>   enter 1 if target flat =</v>
      </c>
      <c r="D146" s="324">
        <f>D40</f>
        <v>1</v>
      </c>
      <c r="E146" s="84"/>
      <c r="F146" s="84"/>
      <c r="G146" s="84"/>
      <c r="H146" s="84"/>
      <c r="I146" s="84"/>
      <c r="J146" s="355"/>
    </row>
    <row r="147" spans="2:10" ht="12.75">
      <c r="B147" s="428" t="str">
        <f>B41</f>
        <v>   or 0 if target is a cylinder</v>
      </c>
      <c r="C147" s="84"/>
      <c r="D147" s="84"/>
      <c r="E147" s="84"/>
      <c r="F147" s="84"/>
      <c r="G147" s="351" t="str">
        <f aca="true" t="shared" si="52" ref="G147:I149">G41</f>
        <v>Plot Radius Factor, ctr :</v>
      </c>
      <c r="H147" s="302">
        <f t="shared" si="52"/>
        <v>0.7071110289798078</v>
      </c>
      <c r="I147" s="84" t="str">
        <f t="shared" si="52"/>
        <v>ft. per inch Diameter</v>
      </c>
      <c r="J147" s="355"/>
    </row>
    <row r="148" spans="2:10" ht="13.5" thickBot="1">
      <c r="B148" s="362" t="s">
        <v>3</v>
      </c>
      <c r="C148" s="84"/>
      <c r="D148" s="84"/>
      <c r="E148" s="84"/>
      <c r="F148" s="84"/>
      <c r="G148" s="351" t="str">
        <f t="shared" si="52"/>
        <v>Plot Radius Factor, face :</v>
      </c>
      <c r="H148" s="303">
        <f t="shared" si="52"/>
        <v>0.6654443623131412</v>
      </c>
      <c r="I148" s="84" t="str">
        <f t="shared" si="52"/>
        <v>ft. per inch Diameter</v>
      </c>
      <c r="J148" s="355"/>
    </row>
    <row r="149" spans="2:10" ht="12.75">
      <c r="B149" s="429" t="str">
        <f>B43</f>
        <v>Enter PRF</v>
      </c>
      <c r="C149" s="325">
        <f>C43</f>
        <v>0.7071110289798078</v>
      </c>
      <c r="D149" s="432" t="str">
        <f>D43</f>
        <v>if PRFctr</v>
      </c>
      <c r="E149" s="433" t="str">
        <f>E43</f>
        <v>if PRFface</v>
      </c>
      <c r="F149" s="423"/>
      <c r="G149" s="431" t="str">
        <f t="shared" si="52"/>
        <v>Enter Diameter =</v>
      </c>
      <c r="H149" s="332">
        <f t="shared" si="52"/>
        <v>24</v>
      </c>
      <c r="I149" s="437" t="str">
        <f t="shared" si="52"/>
        <v>   Inches</v>
      </c>
      <c r="J149" s="355"/>
    </row>
    <row r="150" spans="2:10" ht="13.5" thickBot="1">
      <c r="B150" s="367" t="s">
        <v>3</v>
      </c>
      <c r="C150" s="430" t="str">
        <f aca="true" t="shared" si="53" ref="C150:H150">C44</f>
        <v>BAFenglish</v>
      </c>
      <c r="D150" s="307">
        <f t="shared" si="53"/>
        <v>151.2481828121058</v>
      </c>
      <c r="E150" s="306">
        <f t="shared" si="53"/>
        <v>134.88373679642427</v>
      </c>
      <c r="F150" s="434" t="str">
        <f t="shared" si="53"/>
        <v> borderline at</v>
      </c>
      <c r="G150" s="304">
        <f t="shared" si="53"/>
        <v>16.97066469551539</v>
      </c>
      <c r="H150" s="355" t="str">
        <f t="shared" si="53"/>
        <v> feet, from tree center</v>
      </c>
      <c r="I150" s="84"/>
      <c r="J150" s="355"/>
    </row>
    <row r="151" spans="1:10" ht="13.5" thickBot="1">
      <c r="A151" s="687"/>
      <c r="B151" s="718" t="str">
        <f>K41</f>
        <v> x*y etc B </v>
      </c>
      <c r="C151" s="84"/>
      <c r="D151" s="84"/>
      <c r="E151" s="84"/>
      <c r="F151" s="435" t="str">
        <f>F45</f>
        <v> borderline at</v>
      </c>
      <c r="G151" s="305">
        <f>G45</f>
        <v>15.970664695515389</v>
      </c>
      <c r="H151" s="352" t="str">
        <f>H45</f>
        <v> feet, from tree face</v>
      </c>
      <c r="I151" s="352"/>
      <c r="J151" s="397"/>
    </row>
    <row r="152" ht="13.5" thickBot="1">
      <c r="B152" s="719" t="str">
        <f>K42</f>
        <v> x*y etc C</v>
      </c>
    </row>
    <row r="153" spans="1:10" ht="13.5" thickBot="1">
      <c r="A153" s="686" t="s">
        <v>3</v>
      </c>
      <c r="B153" s="438"/>
      <c r="C153" s="439"/>
      <c r="D153" s="439"/>
      <c r="E153" s="440" t="str">
        <f>E47</f>
        <v>METRIC UNITS</v>
      </c>
      <c r="F153" s="439"/>
      <c r="G153" s="439"/>
      <c r="H153" s="439"/>
      <c r="I153" s="439"/>
      <c r="J153" s="441"/>
    </row>
    <row r="154" spans="2:10" ht="14.25" thickBot="1" thickTop="1">
      <c r="B154" s="442"/>
      <c r="C154" s="443"/>
      <c r="D154" s="443"/>
      <c r="E154" s="443"/>
      <c r="F154" s="420" t="str">
        <f>F48</f>
        <v>Programs to compute BAF from distance to a target:   </v>
      </c>
      <c r="G154" s="443"/>
      <c r="H154" s="444" t="str">
        <f aca="true" t="shared" si="54" ref="H154:J156">H48</f>
        <v>BAFm</v>
      </c>
      <c r="I154" s="329">
        <f t="shared" si="54"/>
        <v>137.7410468319559</v>
      </c>
      <c r="J154" s="330">
        <f t="shared" si="54"/>
        <v>137.7410468319559</v>
      </c>
    </row>
    <row r="155" spans="2:10" ht="13.5" thickBot="1">
      <c r="B155" s="445"/>
      <c r="C155" s="446"/>
      <c r="D155" s="446"/>
      <c r="E155" s="446"/>
      <c r="F155" s="446"/>
      <c r="G155" s="423"/>
      <c r="H155" s="447" t="str">
        <f t="shared" si="54"/>
        <v>target width</v>
      </c>
      <c r="I155" s="64">
        <f t="shared" si="54"/>
        <v>21.59</v>
      </c>
      <c r="J155" s="308">
        <f t="shared" si="54"/>
        <v>21.589999999999996</v>
      </c>
    </row>
    <row r="156" spans="2:10" ht="13.5" thickBot="1">
      <c r="B156" s="427"/>
      <c r="C156" s="448" t="str">
        <f aca="true" t="shared" si="55" ref="C156:G158">C50</f>
        <v>  Width of target =</v>
      </c>
      <c r="D156" s="326">
        <f t="shared" si="55"/>
        <v>21.59</v>
      </c>
      <c r="E156" s="446" t="str">
        <f t="shared" si="55"/>
        <v>centimeters</v>
      </c>
      <c r="F156" s="423" t="str">
        <f t="shared" si="55"/>
        <v>     BAF:</v>
      </c>
      <c r="G156" s="446" t="s">
        <v>3</v>
      </c>
      <c r="H156" s="453" t="str">
        <f t="shared" si="54"/>
        <v>distance</v>
      </c>
      <c r="I156" s="308">
        <f t="shared" si="54"/>
        <v>0.9134381747004008</v>
      </c>
      <c r="J156" s="331">
        <f t="shared" si="54"/>
        <v>0.9134381747004008</v>
      </c>
    </row>
    <row r="157" spans="2:10" ht="12.75">
      <c r="B157" s="427"/>
      <c r="C157" s="448" t="str">
        <f t="shared" si="55"/>
        <v> Distance to target =</v>
      </c>
      <c r="D157" s="327">
        <f t="shared" si="55"/>
        <v>0.9134381747004008</v>
      </c>
      <c r="E157" s="446" t="str">
        <f t="shared" si="55"/>
        <v>meters</v>
      </c>
      <c r="F157" s="301">
        <f t="shared" si="55"/>
        <v>137.74104683195594</v>
      </c>
      <c r="G157" s="446" t="str">
        <f t="shared" si="55"/>
        <v>sq. meters/ hectare</v>
      </c>
      <c r="H157" s="446"/>
      <c r="I157" s="446"/>
      <c r="J157" s="454"/>
    </row>
    <row r="158" spans="2:10" ht="12.75">
      <c r="B158" s="358"/>
      <c r="C158" s="448" t="str">
        <f t="shared" si="55"/>
        <v>   enter 1 if target flat =</v>
      </c>
      <c r="D158" s="328">
        <f t="shared" si="55"/>
        <v>1</v>
      </c>
      <c r="E158" s="446"/>
      <c r="F158" s="446"/>
      <c r="G158" s="446"/>
      <c r="H158" s="446"/>
      <c r="I158" s="446"/>
      <c r="J158" s="455"/>
    </row>
    <row r="159" spans="2:10" ht="12.75">
      <c r="B159" s="358" t="str">
        <f>B53</f>
        <v>   or 0 if target is a cylinder</v>
      </c>
      <c r="C159" s="446"/>
      <c r="D159" s="446"/>
      <c r="E159" s="446"/>
      <c r="F159" s="446"/>
      <c r="G159" s="448" t="str">
        <f aca="true" t="shared" si="56" ref="G159:I161">G53</f>
        <v>Plot Radius Factor, ctr :</v>
      </c>
      <c r="H159" s="302">
        <f t="shared" si="56"/>
        <v>0.04260281680828158</v>
      </c>
      <c r="I159" s="446" t="str">
        <f t="shared" si="56"/>
        <v>m per cm Diameter</v>
      </c>
      <c r="J159" s="455"/>
    </row>
    <row r="160" spans="2:10" ht="13.5" thickBot="1">
      <c r="B160" s="445" t="s">
        <v>3</v>
      </c>
      <c r="C160" s="446"/>
      <c r="D160" s="446"/>
      <c r="E160" s="446"/>
      <c r="F160" s="446"/>
      <c r="G160" s="448" t="str">
        <f t="shared" si="56"/>
        <v>Plot Radius Factor, face :</v>
      </c>
      <c r="H160" s="303">
        <f t="shared" si="56"/>
        <v>0.037602816808281585</v>
      </c>
      <c r="I160" s="446" t="str">
        <f t="shared" si="56"/>
        <v>m per cm Diameter</v>
      </c>
      <c r="J160" s="455"/>
    </row>
    <row r="161" spans="2:10" ht="13.5" thickBot="1">
      <c r="B161" s="449" t="str">
        <f>B55</f>
        <v>Enter PRF</v>
      </c>
      <c r="C161" s="325">
        <f aca="true" t="shared" si="57" ref="C161:E162">C55</f>
        <v>0.04260281680828158</v>
      </c>
      <c r="D161" s="432" t="str">
        <f t="shared" si="57"/>
        <v>if PRFctr</v>
      </c>
      <c r="E161" s="433" t="str">
        <f t="shared" si="57"/>
        <v>if PRFface</v>
      </c>
      <c r="F161" s="423"/>
      <c r="G161" s="431" t="str">
        <f t="shared" si="56"/>
        <v>Enter Diameter =</v>
      </c>
      <c r="H161" s="64">
        <f t="shared" si="56"/>
        <v>60.96</v>
      </c>
      <c r="I161" s="456" t="str">
        <f t="shared" si="56"/>
        <v>   cm</v>
      </c>
      <c r="J161" s="455"/>
    </row>
    <row r="162" spans="2:10" ht="13.5" thickBot="1">
      <c r="B162" s="450" t="s">
        <v>3</v>
      </c>
      <c r="C162" s="451" t="str">
        <f t="shared" si="57"/>
        <v>BAF metric</v>
      </c>
      <c r="D162" s="311">
        <f t="shared" si="57"/>
        <v>137.74104683195594</v>
      </c>
      <c r="E162" s="312">
        <f t="shared" si="57"/>
        <v>110.32519521216445</v>
      </c>
      <c r="F162" s="452" t="str">
        <f aca="true" t="shared" si="58" ref="F162:H163">F56</f>
        <v> borderline at</v>
      </c>
      <c r="G162" s="309">
        <f t="shared" si="58"/>
        <v>2.597067712632845</v>
      </c>
      <c r="H162" s="459" t="str">
        <f t="shared" si="58"/>
        <v>meters from tree center</v>
      </c>
      <c r="I162" s="446"/>
      <c r="J162" s="455"/>
    </row>
    <row r="163" spans="2:10" ht="13.5" thickBot="1">
      <c r="B163" s="718" t="str">
        <f>K53</f>
        <v> x*y etc D </v>
      </c>
      <c r="D163" s="136"/>
      <c r="E163" s="136"/>
      <c r="F163" s="435" t="str">
        <f t="shared" si="58"/>
        <v> borderline at</v>
      </c>
      <c r="G163" s="310">
        <f t="shared" si="58"/>
        <v>2.292267712632845</v>
      </c>
      <c r="H163" s="457" t="str">
        <f t="shared" si="58"/>
        <v>meters from tree face</v>
      </c>
      <c r="I163" s="457"/>
      <c r="J163" s="458"/>
    </row>
    <row r="164" ht="12.75">
      <c r="B164" s="720" t="str">
        <f>K54</f>
        <v> x*y etc E</v>
      </c>
    </row>
    <row r="165" ht="13.5" thickBot="1"/>
    <row r="166" spans="1:10" ht="13.5" thickBot="1">
      <c r="A166" s="686">
        <f>A60</f>
        <v>6</v>
      </c>
      <c r="B166" s="415"/>
      <c r="C166" s="416"/>
      <c r="D166" s="416"/>
      <c r="E166" s="417" t="str">
        <f>E60</f>
        <v>ENGLISH UNITS , BAF calculations</v>
      </c>
      <c r="F166" s="416"/>
      <c r="G166" s="416"/>
      <c r="H166" s="416"/>
      <c r="I166" s="416"/>
      <c r="J166" s="425"/>
    </row>
    <row r="167" spans="2:10" ht="12.75">
      <c r="B167" s="460" t="str">
        <f>B61</f>
        <v>---- Program to compute equivalent plot size with prism (from tree center) -----</v>
      </c>
      <c r="C167" s="348"/>
      <c r="D167" s="348"/>
      <c r="E167" s="348"/>
      <c r="F167" s="348"/>
      <c r="G167" s="348"/>
      <c r="H167" s="348"/>
      <c r="I167" s="466" t="s">
        <v>3</v>
      </c>
      <c r="J167" s="349"/>
    </row>
    <row r="168" spans="2:10" ht="13.5" thickBot="1">
      <c r="B168" s="424" t="str">
        <f>B62</f>
        <v>Using BAFe</v>
      </c>
      <c r="C168" s="64">
        <f>C62</f>
        <v>60</v>
      </c>
      <c r="D168" s="351" t="str">
        <f>D62</f>
        <v> DBH of :</v>
      </c>
      <c r="E168" s="64">
        <f>E62</f>
        <v>12</v>
      </c>
      <c r="F168" s="467" t="str">
        <f>F62</f>
        <v>inches</v>
      </c>
      <c r="G168" s="468" t="str">
        <f>G62</f>
        <v>[ note : BAF(english)/4.3560 = BAF(metric)]</v>
      </c>
      <c r="H168" s="84"/>
      <c r="I168" s="84"/>
      <c r="J168" s="355"/>
    </row>
    <row r="169" spans="2:10" ht="13.5" thickBot="1">
      <c r="B169" s="426" t="str">
        <f>B63</f>
        <v>trees/acre</v>
      </c>
      <c r="C169" s="317">
        <f>C63</f>
        <v>76.39443721173036</v>
      </c>
      <c r="D169" s="84" t="s">
        <v>3</v>
      </c>
      <c r="E169" s="84" t="s">
        <v>3</v>
      </c>
      <c r="F169" s="84" t="s">
        <v>3</v>
      </c>
      <c r="G169" s="84" t="s">
        <v>3</v>
      </c>
      <c r="H169" s="313">
        <f>H63</f>
        <v>0.013089958333333334</v>
      </c>
      <c r="I169" s="84" t="str">
        <f>I63</f>
        <v>acres, as a circle</v>
      </c>
      <c r="J169" s="355"/>
    </row>
    <row r="170" spans="2:10" ht="13.5" thickBot="1">
      <c r="B170" s="424"/>
      <c r="C170" s="84"/>
      <c r="D170" s="348"/>
      <c r="E170" s="462" t="str">
        <f>E64</f>
        <v>  Plot Radius Factor : Face vs. Center of tree</v>
      </c>
      <c r="F170" s="463" t="s">
        <v>185</v>
      </c>
      <c r="G170" s="464"/>
      <c r="H170" s="348" t="s">
        <v>3</v>
      </c>
      <c r="I170" s="348"/>
      <c r="J170" s="349"/>
    </row>
    <row r="171" spans="2:10" ht="13.5" thickBot="1">
      <c r="B171" s="362"/>
      <c r="C171" s="351" t="str">
        <f>C65</f>
        <v>Blow-up Factor(english)</v>
      </c>
      <c r="D171" s="317">
        <f>D65</f>
        <v>726</v>
      </c>
      <c r="E171" s="351" t="str">
        <f>E65</f>
        <v>PRF,ctr =</v>
      </c>
      <c r="F171" s="315">
        <f aca="true" t="shared" si="59" ref="F171:I172">F65</f>
        <v>1.1226827987756234</v>
      </c>
      <c r="G171" s="469" t="str">
        <f t="shared" si="59"/>
        <v>=</v>
      </c>
      <c r="H171" s="300">
        <f t="shared" si="59"/>
        <v>13.47219358530748</v>
      </c>
      <c r="I171" s="84" t="str">
        <f t="shared" si="59"/>
        <v>feet from center</v>
      </c>
      <c r="J171" s="355"/>
    </row>
    <row r="172" spans="2:10" ht="13.5" thickBot="1">
      <c r="B172" s="583" t="str">
        <f>B66</f>
        <v>angle =</v>
      </c>
      <c r="C172" s="308">
        <f>C66</f>
        <v>4.2538685783306756</v>
      </c>
      <c r="D172" s="461" t="str">
        <f>D66</f>
        <v>degrees</v>
      </c>
      <c r="E172" s="465" t="str">
        <f>E66</f>
        <v>PRF,face =</v>
      </c>
      <c r="F172" s="316">
        <f t="shared" si="59"/>
        <v>1.0810161321089566</v>
      </c>
      <c r="G172" s="470" t="str">
        <f t="shared" si="59"/>
        <v>=</v>
      </c>
      <c r="H172" s="314">
        <f t="shared" si="59"/>
        <v>12.97219358530748</v>
      </c>
      <c r="I172" s="352" t="str">
        <f t="shared" si="59"/>
        <v>feet from face</v>
      </c>
      <c r="J172" s="397"/>
    </row>
    <row r="173" spans="2:5" ht="13.5" thickBot="1">
      <c r="B173" s="721" t="str">
        <f>K64</f>
        <v> x*y etc F</v>
      </c>
      <c r="E173" s="39"/>
    </row>
    <row r="174" spans="2:10" ht="13.5" thickBot="1">
      <c r="B174" s="438"/>
      <c r="C174" s="439"/>
      <c r="D174" s="439"/>
      <c r="E174" s="440" t="str">
        <f aca="true" t="shared" si="60" ref="E174:E179">E68</f>
        <v>METRIC UNITS , BAF calculations</v>
      </c>
      <c r="F174" s="439"/>
      <c r="G174" s="439"/>
      <c r="H174" s="439"/>
      <c r="I174" s="439"/>
      <c r="J174" s="441"/>
    </row>
    <row r="175" spans="2:10" ht="13.5" thickBot="1">
      <c r="B175" s="444" t="str">
        <f>B69</f>
        <v>Using BAFm</v>
      </c>
      <c r="C175" s="584">
        <f>C69</f>
        <v>13.774104683195592</v>
      </c>
      <c r="D175" s="472" t="str">
        <f>D69</f>
        <v> DBH of :</v>
      </c>
      <c r="E175" s="300">
        <f>E69</f>
        <v>30.48</v>
      </c>
      <c r="F175" s="473" t="str">
        <f>F69</f>
        <v>cm</v>
      </c>
      <c r="G175" s="473" t="str">
        <f aca="true" t="shared" si="61" ref="G175:I176">G69</f>
        <v> </v>
      </c>
      <c r="H175" s="318">
        <f t="shared" si="61"/>
        <v>52.973181950198395</v>
      </c>
      <c r="I175" s="471" t="str">
        <f t="shared" si="61"/>
        <v>square meters</v>
      </c>
      <c r="J175" s="474"/>
    </row>
    <row r="176" spans="2:10" ht="13.5" thickBot="1">
      <c r="B176" s="447" t="str">
        <f>B70</f>
        <v>trees/ha =</v>
      </c>
      <c r="C176" s="300">
        <f>C70</f>
        <v>188.7747654917404</v>
      </c>
      <c r="D176" s="446" t="s">
        <v>3</v>
      </c>
      <c r="E176" s="446" t="s">
        <v>3</v>
      </c>
      <c r="F176" s="446" t="s">
        <v>3</v>
      </c>
      <c r="G176" s="448" t="str">
        <f t="shared" si="61"/>
        <v>or</v>
      </c>
      <c r="H176" s="319">
        <f t="shared" si="61"/>
        <v>0.005297318195019839</v>
      </c>
      <c r="I176" s="446" t="str">
        <f t="shared" si="61"/>
        <v>hectares, as a circle</v>
      </c>
      <c r="J176" s="455"/>
    </row>
    <row r="177" spans="2:10" ht="13.5" thickBot="1">
      <c r="B177" s="346"/>
      <c r="C177" s="471"/>
      <c r="D177" s="471"/>
      <c r="E177" s="475" t="str">
        <f t="shared" si="60"/>
        <v>  Plot Radius Factor : Face vs. Center of tree</v>
      </c>
      <c r="F177" s="476" t="str">
        <f>F71</f>
        <v>Metric</v>
      </c>
      <c r="G177" s="471" t="s">
        <v>3</v>
      </c>
      <c r="H177" s="446"/>
      <c r="I177" s="471"/>
      <c r="J177" s="474"/>
    </row>
    <row r="178" spans="2:10" ht="13.5" thickBot="1">
      <c r="B178" s="479"/>
      <c r="C178" s="585" t="str">
        <f>C72</f>
        <v>Blow-up Factor (metric)</v>
      </c>
      <c r="D178" s="320">
        <f>D72</f>
        <v>726</v>
      </c>
      <c r="E178" s="448" t="str">
        <f t="shared" si="60"/>
        <v>PRFctr =</v>
      </c>
      <c r="F178" s="315">
        <f>F72</f>
        <v>0.1347219358530748</v>
      </c>
      <c r="G178" s="456" t="s">
        <v>3</v>
      </c>
      <c r="H178" s="300">
        <f>H72</f>
        <v>4.10632460480172</v>
      </c>
      <c r="I178" s="456" t="str">
        <f>I72</f>
        <v>meters from center</v>
      </c>
      <c r="J178" s="455"/>
    </row>
    <row r="179" spans="2:11" ht="13.5" thickBot="1">
      <c r="B179" s="453" t="str">
        <f>B73</f>
        <v>angle =</v>
      </c>
      <c r="C179" s="308">
        <f>C73</f>
        <v>4.2538685783306756</v>
      </c>
      <c r="D179" s="586" t="str">
        <f>D73</f>
        <v>degrees</v>
      </c>
      <c r="E179" s="478" t="str">
        <f t="shared" si="60"/>
        <v>PRFface =</v>
      </c>
      <c r="F179" s="316">
        <f>F73</f>
        <v>0.1297219358530748</v>
      </c>
      <c r="G179" s="477" t="s">
        <v>3</v>
      </c>
      <c r="H179" s="314">
        <f>H73</f>
        <v>3.9539246048017196</v>
      </c>
      <c r="I179" s="457" t="str">
        <f>I73</f>
        <v>meters from face</v>
      </c>
      <c r="J179" s="458"/>
      <c r="K179" s="20"/>
    </row>
    <row r="180" ht="12.75">
      <c r="B180" s="718" t="str">
        <f>K71</f>
        <v> x*y etc G </v>
      </c>
    </row>
    <row r="181" ht="13.5" thickBot="1"/>
    <row r="182" spans="1:8" ht="12.75">
      <c r="A182" s="686">
        <f>A76</f>
        <v>7</v>
      </c>
      <c r="B182" s="480" t="str">
        <f>B76</f>
        <v>ROUGH Calculation if CV *BAR not available, but you have (SE% overall) </v>
      </c>
      <c r="C182" s="374"/>
      <c r="D182" s="374"/>
      <c r="E182" s="374"/>
      <c r="F182" s="374"/>
      <c r="G182" s="374"/>
      <c r="H182" s="481"/>
    </row>
    <row r="183" spans="2:8" ht="13.5" thickBot="1">
      <c r="B183" s="486" t="s">
        <v>3</v>
      </c>
      <c r="C183" s="375"/>
      <c r="D183" s="375"/>
      <c r="E183" s="375"/>
      <c r="F183" s="375"/>
      <c r="G183" s="375" t="str">
        <f>G77</f>
        <v>(Implied)</v>
      </c>
      <c r="H183" s="482"/>
    </row>
    <row r="184" spans="2:8" ht="14.25" customHeight="1" thickBot="1">
      <c r="B184" s="589" t="str">
        <f aca="true" t="shared" si="62" ref="B184:G184">B78</f>
        <v>SE%,BA =</v>
      </c>
      <c r="C184" s="593">
        <f t="shared" si="62"/>
        <v>0.078</v>
      </c>
      <c r="D184" s="376" t="str">
        <f t="shared" si="62"/>
        <v>#  points</v>
      </c>
      <c r="E184" s="324">
        <f t="shared" si="62"/>
        <v>30</v>
      </c>
      <c r="F184" s="376" t="str">
        <f t="shared" si="62"/>
        <v> CV, BA</v>
      </c>
      <c r="G184" s="592">
        <f t="shared" si="62"/>
        <v>0.42722359485402955</v>
      </c>
      <c r="H184" s="482" t="s">
        <v>85</v>
      </c>
    </row>
    <row r="185" spans="2:8" ht="13.5" thickBot="1">
      <c r="B185" s="589" t="str">
        <f aca="true" t="shared" si="63" ref="B185:G185">B79</f>
        <v>SE%,*BAR =</v>
      </c>
      <c r="C185" s="594">
        <f t="shared" si="63"/>
        <v>0.02529822128134705</v>
      </c>
      <c r="D185" s="376" t="str">
        <f t="shared" si="63"/>
        <v># *BARs</v>
      </c>
      <c r="E185" s="324">
        <f t="shared" si="63"/>
        <v>120</v>
      </c>
      <c r="F185" s="371" t="str">
        <f t="shared" si="63"/>
        <v>CV, *BAR</v>
      </c>
      <c r="G185" s="591">
        <f t="shared" si="63"/>
        <v>0.27712812921102054</v>
      </c>
      <c r="H185" s="482" t="s">
        <v>85</v>
      </c>
    </row>
    <row r="186" spans="2:8" ht="13.5" thickBot="1">
      <c r="B186" s="590" t="str">
        <f>B80</f>
        <v>SE%,Total =</v>
      </c>
      <c r="C186" s="597">
        <f>C80</f>
        <v>0.082</v>
      </c>
      <c r="D186" s="484"/>
      <c r="E186" s="484"/>
      <c r="F186" s="484"/>
      <c r="G186" s="484"/>
      <c r="H186" s="483"/>
    </row>
    <row r="187" ht="13.5" thickBot="1"/>
    <row r="188" spans="1:9" ht="14.25" thickBot="1" thickTop="1">
      <c r="A188" s="686">
        <f>A82</f>
        <v>8</v>
      </c>
      <c r="B188" s="510" t="str">
        <f>B82</f>
        <v>*** Optimum Calculation of TC vs. *BAR plots Using your test number ratio from section 2</v>
      </c>
      <c r="C188" s="511"/>
      <c r="D188" s="511"/>
      <c r="E188" s="511"/>
      <c r="F188" s="511"/>
      <c r="G188" s="511"/>
      <c r="H188" s="511"/>
      <c r="I188" s="512"/>
    </row>
    <row r="189" spans="2:9" ht="13.5" thickTop="1">
      <c r="B189" s="346"/>
      <c r="C189" s="374" t="str">
        <f>C83</f>
        <v>Variability</v>
      </c>
      <c r="D189" s="374"/>
      <c r="E189" s="374" t="str">
        <f>E83</f>
        <v>   Measurement Costs</v>
      </c>
      <c r="F189" s="374"/>
      <c r="G189" s="374"/>
      <c r="H189" s="374" t="str">
        <f>H83</f>
        <v>  Fixed costs:</v>
      </c>
      <c r="I189" s="481"/>
    </row>
    <row r="190" spans="2:9" ht="12.75">
      <c r="B190" s="588" t="str">
        <f>B84</f>
        <v>  CV(TC) =</v>
      </c>
      <c r="C190" s="508">
        <f>C84</f>
        <v>0.3</v>
      </c>
      <c r="D190" s="375" t="s">
        <v>3</v>
      </c>
      <c r="E190" s="498">
        <f>E84</f>
        <v>6</v>
      </c>
      <c r="F190" s="375" t="str">
        <f>F84</f>
        <v>= Cost (TC) </v>
      </c>
      <c r="G190" s="375"/>
      <c r="H190" s="500">
        <f>H84</f>
        <v>0</v>
      </c>
      <c r="I190" s="501" t="str">
        <f>I84</f>
        <v>comment 1</v>
      </c>
    </row>
    <row r="191" spans="2:9" ht="12.75">
      <c r="B191" s="588"/>
      <c r="C191" s="375"/>
      <c r="D191" s="375"/>
      <c r="E191" s="375" t="s">
        <v>3</v>
      </c>
      <c r="F191" s="375"/>
      <c r="G191" s="375"/>
      <c r="H191" s="500">
        <f>H85</f>
        <v>0</v>
      </c>
      <c r="I191" s="501" t="str">
        <f>I85</f>
        <v> comment 2</v>
      </c>
    </row>
    <row r="192" spans="1:9" ht="13.5" thickBot="1">
      <c r="A192" s="5"/>
      <c r="B192" s="600" t="str">
        <f>B86</f>
        <v>  CV(*BAR) =</v>
      </c>
      <c r="C192" s="508">
        <f>C86</f>
        <v>0.187</v>
      </c>
      <c r="D192" s="375" t="s">
        <v>3</v>
      </c>
      <c r="E192" s="498">
        <f>E86</f>
        <v>2</v>
      </c>
      <c r="F192" s="375" t="str">
        <f>F86</f>
        <v>= Cost (*BAR) </v>
      </c>
      <c r="G192" s="375"/>
      <c r="H192" s="502">
        <f>H86</f>
        <v>0</v>
      </c>
      <c r="I192" s="501" t="str">
        <f>I86</f>
        <v> comment 3</v>
      </c>
    </row>
    <row r="193" spans="1:9" ht="13.5" thickTop="1">
      <c r="A193" s="5"/>
      <c r="B193" s="358" t="s">
        <v>3</v>
      </c>
      <c r="C193" s="375" t="s">
        <v>3</v>
      </c>
      <c r="D193" s="375" t="s">
        <v>3</v>
      </c>
      <c r="E193" s="375" t="s">
        <v>3</v>
      </c>
      <c r="F193" s="503" t="s">
        <v>3</v>
      </c>
      <c r="G193" s="375" t="s">
        <v>3</v>
      </c>
      <c r="H193" s="504">
        <f>H87</f>
        <v>0</v>
      </c>
      <c r="I193" s="505" t="str">
        <f>I87</f>
        <v>= total</v>
      </c>
    </row>
    <row r="194" spans="1:9" ht="12.75">
      <c r="A194" s="5"/>
      <c r="B194" s="358"/>
      <c r="C194" s="375"/>
      <c r="D194" s="372" t="str">
        <f>D88</f>
        <v>     Ratio for your CHOICE ==&gt;</v>
      </c>
      <c r="E194" s="610" t="e">
        <f>E88</f>
        <v>#DIV/0!</v>
      </c>
      <c r="F194" s="375" t="str">
        <f>F88</f>
        <v>TC per *BAR</v>
      </c>
      <c r="G194" s="375"/>
      <c r="H194" s="375"/>
      <c r="I194" s="482"/>
    </row>
    <row r="195" spans="1:9" ht="12.75">
      <c r="A195" s="5"/>
      <c r="B195" s="358"/>
      <c r="C195" s="375"/>
      <c r="D195" s="375"/>
      <c r="E195" s="506"/>
      <c r="G195" s="376" t="str">
        <f>G89</f>
        <v>using entered number TC =</v>
      </c>
      <c r="H195" s="651">
        <f>H89</f>
        <v>0</v>
      </c>
      <c r="I195" s="482"/>
    </row>
    <row r="196" spans="1:9" ht="12.75">
      <c r="A196" s="5"/>
      <c r="B196" s="365" t="str">
        <f>B90</f>
        <v>  Desired SEc% (Total)==&gt;</v>
      </c>
      <c r="C196" s="375"/>
      <c r="D196" s="509">
        <f>D90</f>
        <v>0.06</v>
      </c>
      <c r="E196" s="375" t="s">
        <v>3</v>
      </c>
      <c r="F196" s="375"/>
      <c r="G196" s="376" t="str">
        <f>G90</f>
        <v>*BAR =</v>
      </c>
      <c r="H196" s="651">
        <f>H90</f>
        <v>0</v>
      </c>
      <c r="I196" s="482"/>
    </row>
    <row r="197" spans="1:9" ht="12.75">
      <c r="A197" s="5"/>
      <c r="B197" s="358" t="s">
        <v>3</v>
      </c>
      <c r="C197" s="375"/>
      <c r="D197" s="375"/>
      <c r="E197" s="375"/>
      <c r="F197" s="375"/>
      <c r="G197" s="375"/>
      <c r="H197" s="375"/>
      <c r="I197" s="482"/>
    </row>
    <row r="198" spans="1:9" ht="12.75">
      <c r="A198" s="5"/>
      <c r="B198" s="359" t="str">
        <f aca="true" t="shared" si="64" ref="B198:G198">B92</f>
        <v>n points</v>
      </c>
      <c r="C198" s="651" t="e">
        <f t="shared" si="64"/>
        <v>#DIV/0!</v>
      </c>
      <c r="D198" s="370" t="str">
        <f t="shared" si="64"/>
        <v>SE%(TC)</v>
      </c>
      <c r="E198" s="499" t="e">
        <f t="shared" si="64"/>
        <v>#DIV/0!</v>
      </c>
      <c r="F198" s="376" t="str">
        <f t="shared" si="64"/>
        <v>Total $</v>
      </c>
      <c r="G198" s="610" t="e">
        <f t="shared" si="64"/>
        <v>#DIV/0!</v>
      </c>
      <c r="H198" s="376"/>
      <c r="I198" s="507"/>
    </row>
    <row r="199" spans="1:9" ht="13.5" thickBot="1">
      <c r="A199" s="5"/>
      <c r="B199" s="359" t="str">
        <f>B93</f>
        <v>n (*BAR)</v>
      </c>
      <c r="C199" s="651" t="e">
        <f>C93</f>
        <v>#DIV/0!</v>
      </c>
      <c r="D199" s="370" t="str">
        <f>D93</f>
        <v>SE%(*BAR)</v>
      </c>
      <c r="E199" s="609" t="e">
        <f>E93</f>
        <v>#DIV/0!</v>
      </c>
      <c r="F199" s="375"/>
      <c r="G199" s="375"/>
      <c r="H199" s="606"/>
      <c r="I199" s="607"/>
    </row>
    <row r="200" spans="1:9" ht="14.25" thickBot="1" thickTop="1">
      <c r="A200" s="5"/>
      <c r="B200" s="485"/>
      <c r="C200" s="484"/>
      <c r="D200" s="608" t="str">
        <f>D94</f>
        <v>SE% Total</v>
      </c>
      <c r="E200" s="596" t="e">
        <f>E94</f>
        <v>#DIV/0!</v>
      </c>
      <c r="F200" s="484"/>
      <c r="G200" s="484"/>
      <c r="H200" s="484"/>
      <c r="I200" s="483"/>
    </row>
    <row r="202" spans="1:9" ht="12.75">
      <c r="A202" s="686">
        <f>A96</f>
        <v>9</v>
      </c>
      <c r="B202" s="625" t="str">
        <f>B96</f>
        <v>    If you need to combine prisms,</v>
      </c>
      <c r="C202" s="626"/>
      <c r="D202" s="627"/>
      <c r="E202" s="628" t="str">
        <f>E96</f>
        <v>BAF #1</v>
      </c>
      <c r="F202" s="649">
        <f>F96</f>
        <v>20</v>
      </c>
      <c r="G202" s="627"/>
      <c r="H202" s="627" t="s">
        <v>3</v>
      </c>
      <c r="I202" s="629"/>
    </row>
    <row r="203" spans="2:9" ht="12.75">
      <c r="B203" s="630" t="str">
        <f>B97</f>
        <v>    this is the resulting BAF</v>
      </c>
      <c r="C203" s="631"/>
      <c r="D203" s="632"/>
      <c r="E203" s="633" t="str">
        <f>E97</f>
        <v>BAF #2</v>
      </c>
      <c r="F203" s="650">
        <f>F97</f>
        <v>30</v>
      </c>
      <c r="G203" s="632"/>
      <c r="H203" s="633" t="str">
        <f>H97</f>
        <v>Combined BAF =</v>
      </c>
      <c r="I203" s="648">
        <f>I97</f>
        <v>98.98979485566359</v>
      </c>
    </row>
  </sheetData>
  <sheetProtection/>
  <printOptions headings="1"/>
  <pageMargins left="0.25" right="0.25" top="1" bottom="0.5" header="0.5" footer="0.5"/>
  <pageSetup fitToHeight="2" horizontalDpi="300" verticalDpi="300" orientation="portrait" r:id="rId5"/>
  <headerFooter alignWithMargins="0">
    <oddHeader>&amp;CPrepared using an EXCEL program by Kim Iles &amp;&amp; Associates,  &amp;D&amp;RPage &amp;P</oddHeader>
  </headerFooter>
  <rowBreaks count="1" manualBreakCount="1">
    <brk id="152" max="9" man="1"/>
  </rowBreaks>
  <drawing r:id="rId4"/>
  <legacyDrawing r:id="rId3"/>
  <oleObjects>
    <oleObject progId="Document" dvAspect="DVASPECT_ICON" shapeId="577781" r:id="rId2"/>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A219"/>
  <sheetViews>
    <sheetView zoomScalePageLayoutView="0" workbookViewId="0" topLeftCell="H1">
      <selection activeCell="L7" sqref="L7"/>
    </sheetView>
  </sheetViews>
  <sheetFormatPr defaultColWidth="9.140625" defaultRowHeight="12.75"/>
  <cols>
    <col min="1" max="1" width="7.8515625" style="0" customWidth="1"/>
    <col min="2" max="2" width="10.57421875" style="0" customWidth="1"/>
    <col min="7" max="7" width="8.8515625" style="0" customWidth="1"/>
    <col min="8" max="8" width="5.421875" style="55" customWidth="1"/>
    <col min="11" max="11" width="10.7109375" style="0" customWidth="1"/>
    <col min="24" max="24" width="9.28125" style="732" customWidth="1"/>
    <col min="25" max="27" width="9.140625" style="732" customWidth="1"/>
  </cols>
  <sheetData>
    <row r="1" spans="1:11" ht="12.75">
      <c r="A1" s="55"/>
      <c r="B1" s="55"/>
      <c r="C1" s="55"/>
      <c r="D1" s="55"/>
      <c r="E1" s="55"/>
      <c r="F1" s="55"/>
      <c r="G1" s="55"/>
      <c r="I1" s="55"/>
      <c r="J1" s="55"/>
      <c r="K1" s="55"/>
    </row>
    <row r="2" spans="1:27" ht="12.75">
      <c r="A2" s="55"/>
      <c r="B2" s="55"/>
      <c r="C2" s="55"/>
      <c r="D2" s="55"/>
      <c r="E2" s="55"/>
      <c r="F2" s="55"/>
      <c r="G2" s="55"/>
      <c r="I2" s="55"/>
      <c r="J2" s="55"/>
      <c r="K2" s="55"/>
      <c r="X2" s="732" t="s">
        <v>263</v>
      </c>
      <c r="Y2" s="732" t="s">
        <v>264</v>
      </c>
      <c r="Z2" s="733" t="s">
        <v>265</v>
      </c>
      <c r="AA2" s="733" t="s">
        <v>266</v>
      </c>
    </row>
    <row r="3" spans="1:27" ht="12.75">
      <c r="A3" s="55"/>
      <c r="I3" s="55"/>
      <c r="J3" s="55"/>
      <c r="K3" s="55"/>
      <c r="X3" s="734">
        <f>(R$25/Z3)^2</f>
        <v>45918.36734693876</v>
      </c>
      <c r="Y3" s="734">
        <f>(R$26/AA3)^2</f>
        <v>18.374696817502507</v>
      </c>
      <c r="Z3" s="733">
        <f>R$28/50</f>
        <v>0.0014000000000000002</v>
      </c>
      <c r="AA3" s="733">
        <f>SQRT(R$28^2-Z3^2)</f>
        <v>0.06998599859971993</v>
      </c>
    </row>
    <row r="4" spans="1:27" ht="12.75">
      <c r="A4" s="55"/>
      <c r="I4" s="55"/>
      <c r="J4" s="55"/>
      <c r="K4" s="55"/>
      <c r="X4" s="734">
        <f aca="true" t="shared" si="0" ref="X4:X23">(R$25/Z4)^2</f>
        <v>11479.59183673469</v>
      </c>
      <c r="Y4" s="734">
        <f aca="true" t="shared" si="1" ref="Y4:Y23">(R$26/AA4)^2</f>
        <v>18.396781789638926</v>
      </c>
      <c r="Z4" s="733">
        <f>Z3+R$28/50</f>
        <v>0.0028000000000000004</v>
      </c>
      <c r="AA4" s="733">
        <f aca="true" t="shared" si="2" ref="AA4:AA51">SQRT(R$28^2-Z4^2)</f>
        <v>0.06994397758206207</v>
      </c>
    </row>
    <row r="5" spans="1:27" ht="12.75">
      <c r="A5" s="55" t="s">
        <v>145</v>
      </c>
      <c r="I5" s="55"/>
      <c r="J5" s="55"/>
      <c r="K5" s="55"/>
      <c r="X5" s="734">
        <f t="shared" si="0"/>
        <v>5102.040816326529</v>
      </c>
      <c r="Y5" s="734">
        <f t="shared" si="1"/>
        <v>18.433708288614522</v>
      </c>
      <c r="Z5" s="733">
        <f aca="true" t="shared" si="3" ref="Z5:Z51">Z4+R$28/50</f>
        <v>0.004200000000000001</v>
      </c>
      <c r="AA5" s="733">
        <f t="shared" si="2"/>
        <v>0.06987388639541957</v>
      </c>
    </row>
    <row r="6" spans="1:27" ht="12.75">
      <c r="A6" s="60" t="s">
        <v>144</v>
      </c>
      <c r="I6" s="55"/>
      <c r="J6" s="55"/>
      <c r="K6" s="55"/>
      <c r="X6" s="734">
        <f t="shared" si="0"/>
        <v>2869.8979591836724</v>
      </c>
      <c r="Y6" s="734">
        <f t="shared" si="1"/>
        <v>18.48565513161786</v>
      </c>
      <c r="Z6" s="733">
        <f t="shared" si="3"/>
        <v>0.005600000000000001</v>
      </c>
      <c r="AA6" s="733">
        <f t="shared" si="2"/>
        <v>0.06977564044851184</v>
      </c>
    </row>
    <row r="7" spans="1:27" ht="12.75">
      <c r="A7" s="55"/>
      <c r="I7" s="55"/>
      <c r="J7" s="55"/>
      <c r="K7" s="55"/>
      <c r="X7" s="734">
        <f t="shared" si="0"/>
        <v>1836.7346938775502</v>
      </c>
      <c r="Y7" s="734">
        <f t="shared" si="1"/>
        <v>18.55287569573284</v>
      </c>
      <c r="Z7" s="733">
        <f t="shared" si="3"/>
        <v>0.007000000000000001</v>
      </c>
      <c r="AA7" s="733">
        <f t="shared" si="2"/>
        <v>0.0696491205974634</v>
      </c>
    </row>
    <row r="8" spans="1:27" ht="12.75">
      <c r="A8" s="55"/>
      <c r="I8" s="55"/>
      <c r="J8" s="55"/>
      <c r="K8" s="55"/>
      <c r="X8" s="734">
        <f t="shared" si="0"/>
        <v>1275.5102040816323</v>
      </c>
      <c r="Y8" s="734">
        <f t="shared" si="1"/>
        <v>18.635701033660208</v>
      </c>
      <c r="Z8" s="733">
        <f t="shared" si="3"/>
        <v>0.008400000000000001</v>
      </c>
      <c r="AA8" s="733">
        <f t="shared" si="2"/>
        <v>0.06949417241754881</v>
      </c>
    </row>
    <row r="9" spans="1:27" ht="12.75">
      <c r="A9" s="55"/>
      <c r="I9" s="55"/>
      <c r="J9" s="55"/>
      <c r="K9" s="55"/>
      <c r="X9" s="734">
        <f t="shared" si="0"/>
        <v>937.1095376926278</v>
      </c>
      <c r="Y9" s="734">
        <f t="shared" si="1"/>
        <v>18.734544001199005</v>
      </c>
      <c r="Z9" s="733">
        <f t="shared" si="3"/>
        <v>0.009800000000000001</v>
      </c>
      <c r="AA9" s="733">
        <f t="shared" si="2"/>
        <v>0.06931060524912476</v>
      </c>
    </row>
    <row r="10" spans="1:27" ht="12.75">
      <c r="A10" s="55"/>
      <c r="I10" s="56"/>
      <c r="J10" s="55"/>
      <c r="K10" s="55"/>
      <c r="L10" s="54" t="s">
        <v>208</v>
      </c>
      <c r="X10" s="734">
        <f t="shared" si="0"/>
        <v>717.4744897959181</v>
      </c>
      <c r="Y10" s="734">
        <f t="shared" si="1"/>
        <v>18.84990449381723</v>
      </c>
      <c r="Z10" s="733">
        <f t="shared" si="3"/>
        <v>0.011200000000000002</v>
      </c>
      <c r="AA10" s="733">
        <f t="shared" si="2"/>
        <v>0.06909819100381717</v>
      </c>
    </row>
    <row r="11" spans="1:27" ht="12.75">
      <c r="A11" s="55"/>
      <c r="I11" s="55"/>
      <c r="J11" s="55"/>
      <c r="K11" s="55"/>
      <c r="X11" s="734">
        <f t="shared" si="0"/>
        <v>566.8934240362811</v>
      </c>
      <c r="Y11" s="734">
        <f t="shared" si="1"/>
        <v>18.982375918536075</v>
      </c>
      <c r="Z11" s="733">
        <f t="shared" si="3"/>
        <v>0.012600000000000002</v>
      </c>
      <c r="AA11" s="733">
        <f t="shared" si="2"/>
        <v>0.06885666271320445</v>
      </c>
    </row>
    <row r="12" spans="1:27" ht="12.75">
      <c r="A12" s="55"/>
      <c r="I12" s="56"/>
      <c r="J12" s="55"/>
      <c r="K12" s="55"/>
      <c r="L12" s="54" t="s">
        <v>140</v>
      </c>
      <c r="X12" s="735">
        <f t="shared" si="0"/>
        <v>459.18367346938754</v>
      </c>
      <c r="Y12" s="735">
        <f t="shared" si="1"/>
        <v>19.13265306122448</v>
      </c>
      <c r="Z12" s="733">
        <f t="shared" si="3"/>
        <v>0.014000000000000002</v>
      </c>
      <c r="AA12" s="733">
        <f t="shared" si="2"/>
        <v>0.068585712797929</v>
      </c>
    </row>
    <row r="13" spans="1:27" ht="12.75">
      <c r="A13" s="55"/>
      <c r="I13" s="56"/>
      <c r="J13" s="55"/>
      <c r="K13" s="55"/>
      <c r="L13" s="54" t="s">
        <v>209</v>
      </c>
      <c r="X13" s="735">
        <f t="shared" si="0"/>
        <v>379.4906392308988</v>
      </c>
      <c r="Y13" s="735">
        <f t="shared" si="1"/>
        <v>19.30154154978511</v>
      </c>
      <c r="Z13" s="733">
        <f t="shared" si="3"/>
        <v>0.015400000000000002</v>
      </c>
      <c r="AA13" s="733">
        <f t="shared" si="2"/>
        <v>0.06828499103024031</v>
      </c>
    </row>
    <row r="14" spans="1:27" ht="12.75">
      <c r="A14" s="55"/>
      <c r="I14" s="55"/>
      <c r="J14" s="55"/>
      <c r="K14" s="55"/>
      <c r="X14" s="735">
        <f t="shared" si="0"/>
        <v>318.8775510204081</v>
      </c>
      <c r="Y14" s="735">
        <f t="shared" si="1"/>
        <v>19.489969162537683</v>
      </c>
      <c r="Z14" s="733">
        <f t="shared" si="3"/>
        <v>0.016800000000000002</v>
      </c>
      <c r="AA14" s="733">
        <f t="shared" si="2"/>
        <v>0.06795410215726494</v>
      </c>
    </row>
    <row r="15" spans="1:27" ht="12.75">
      <c r="A15" s="55"/>
      <c r="I15" s="55"/>
      <c r="J15" s="55"/>
      <c r="K15" s="55"/>
      <c r="X15" s="735">
        <f t="shared" si="0"/>
        <v>271.70631566235954</v>
      </c>
      <c r="Y15" s="735">
        <f t="shared" si="1"/>
        <v>19.698999290836017</v>
      </c>
      <c r="Z15" s="733">
        <f t="shared" si="3"/>
        <v>0.0182</v>
      </c>
      <c r="AA15" s="733">
        <f t="shared" si="2"/>
        <v>0.06759260314561055</v>
      </c>
    </row>
    <row r="16" spans="1:27" ht="12.75">
      <c r="A16" s="55"/>
      <c r="I16" s="55"/>
      <c r="J16" s="55"/>
      <c r="K16" s="55"/>
      <c r="X16" s="735">
        <f t="shared" si="0"/>
        <v>234.277384423157</v>
      </c>
      <c r="Y16" s="735">
        <f t="shared" si="1"/>
        <v>19.929846938775505</v>
      </c>
      <c r="Z16" s="733">
        <f t="shared" si="3"/>
        <v>0.0196</v>
      </c>
      <c r="AA16" s="733">
        <f t="shared" si="2"/>
        <v>0.06720000000000001</v>
      </c>
    </row>
    <row r="17" spans="1:27" ht="12.75">
      <c r="A17" s="55"/>
      <c r="I17" s="55"/>
      <c r="J17" s="55"/>
      <c r="K17" s="55"/>
      <c r="X17" s="735">
        <f t="shared" si="0"/>
        <v>204.08163265306123</v>
      </c>
      <c r="Y17" s="735">
        <f t="shared" si="1"/>
        <v>20.183897734918137</v>
      </c>
      <c r="Z17" s="733">
        <f t="shared" si="3"/>
        <v>0.020999999999999998</v>
      </c>
      <c r="AA17" s="733">
        <f t="shared" si="2"/>
        <v>0.0667757440991862</v>
      </c>
    </row>
    <row r="18" spans="1:27" ht="12.75">
      <c r="A18" s="55"/>
      <c r="I18" s="55"/>
      <c r="J18" s="55"/>
      <c r="K18" s="55"/>
      <c r="X18" s="735">
        <f t="shared" si="0"/>
        <v>179.36862244897964</v>
      </c>
      <c r="Y18" s="735">
        <f t="shared" si="1"/>
        <v>20.46273054676415</v>
      </c>
      <c r="Z18" s="733">
        <f t="shared" si="3"/>
        <v>0.022399999999999996</v>
      </c>
      <c r="AA18" s="733">
        <f t="shared" si="2"/>
        <v>0.06631922798103128</v>
      </c>
    </row>
    <row r="19" spans="1:27" ht="12.75">
      <c r="A19" s="55"/>
      <c r="I19" s="55"/>
      <c r="J19" s="55"/>
      <c r="K19" s="55"/>
      <c r="X19" s="735">
        <f t="shared" si="0"/>
        <v>158.88708424546297</v>
      </c>
      <c r="Y19" s="735">
        <f t="shared" si="1"/>
        <v>20.768144435521826</v>
      </c>
      <c r="Z19" s="733">
        <f t="shared" si="3"/>
        <v>0.023799999999999995</v>
      </c>
      <c r="AA19" s="733">
        <f t="shared" si="2"/>
        <v>0.065829780494849</v>
      </c>
    </row>
    <row r="20" spans="1:27" ht="12.75">
      <c r="A20" s="55"/>
      <c r="I20" s="55"/>
      <c r="J20" s="55"/>
      <c r="K20" s="55"/>
      <c r="X20" s="735">
        <f t="shared" si="0"/>
        <v>141.72335600907036</v>
      </c>
      <c r="Y20" s="735">
        <f t="shared" si="1"/>
        <v>21.102190876350537</v>
      </c>
      <c r="Z20" s="733">
        <f t="shared" si="3"/>
        <v>0.025199999999999993</v>
      </c>
      <c r="AA20" s="733">
        <f t="shared" si="2"/>
        <v>0.06530666122226737</v>
      </c>
    </row>
    <row r="21" spans="1:27" ht="12.75">
      <c r="A21" s="55"/>
      <c r="I21" s="55"/>
      <c r="J21" s="55"/>
      <c r="K21" s="55"/>
      <c r="X21" s="735">
        <f t="shared" si="0"/>
        <v>127.19769348182494</v>
      </c>
      <c r="Y21" s="735">
        <f t="shared" si="1"/>
        <v>21.46721241091106</v>
      </c>
      <c r="Z21" s="733">
        <f t="shared" si="3"/>
        <v>0.02659999999999999</v>
      </c>
      <c r="AA21" s="733">
        <f t="shared" si="2"/>
        <v>0.0647490540471442</v>
      </c>
    </row>
    <row r="22" spans="1:27" ht="12.75">
      <c r="A22" s="55"/>
      <c r="I22" s="55"/>
      <c r="J22" s="55"/>
      <c r="K22" s="55"/>
      <c r="X22" s="735">
        <f t="shared" si="0"/>
        <v>114.795918367347</v>
      </c>
      <c r="Y22" s="735">
        <f t="shared" si="1"/>
        <v>21.865889212827973</v>
      </c>
      <c r="Z22" s="733">
        <f t="shared" si="3"/>
        <v>0.02799999999999999</v>
      </c>
      <c r="AA22" s="733">
        <f t="shared" si="2"/>
        <v>0.06415605972938178</v>
      </c>
    </row>
    <row r="23" spans="1:27" ht="12.75">
      <c r="A23" s="55"/>
      <c r="I23" s="55"/>
      <c r="J23" s="55"/>
      <c r="K23" s="55"/>
      <c r="X23" s="735">
        <f t="shared" si="0"/>
        <v>104.12328196584762</v>
      </c>
      <c r="Y23" s="735">
        <f t="shared" si="1"/>
        <v>22.3012954574739</v>
      </c>
      <c r="Z23" s="733">
        <f t="shared" si="3"/>
        <v>0.02939999999999999</v>
      </c>
      <c r="AA23" s="733">
        <f t="shared" si="2"/>
        <v>0.0635266873054152</v>
      </c>
    </row>
    <row r="24" spans="1:27" ht="12.75">
      <c r="A24" s="55"/>
      <c r="I24" s="55"/>
      <c r="J24" s="55"/>
      <c r="K24" s="55"/>
      <c r="X24" s="735">
        <f aca="true" t="shared" si="4" ref="X24:X51">(R$25/Z24)^2</f>
        <v>94.8726598077248</v>
      </c>
      <c r="Y24" s="735">
        <f aca="true" t="shared" si="5" ref="Y24:Y51">(R$26/AA24)^2</f>
        <v>22.776967930029134</v>
      </c>
      <c r="Z24" s="733">
        <f t="shared" si="3"/>
        <v>0.030799999999999987</v>
      </c>
      <c r="AA24" s="733">
        <f t="shared" si="2"/>
        <v>0.06285984409780224</v>
      </c>
    </row>
    <row r="25" spans="1:27" ht="12.75">
      <c r="A25" s="55"/>
      <c r="I25" s="55"/>
      <c r="J25" s="55"/>
      <c r="K25" s="55"/>
      <c r="Q25" s="729" t="s">
        <v>260</v>
      </c>
      <c r="R25" s="731">
        <f>+'Data Entry'!C3</f>
        <v>0.3</v>
      </c>
      <c r="X25" s="735">
        <f t="shared" si="4"/>
        <v>86.80220670498831</v>
      </c>
      <c r="Y25" s="735">
        <f t="shared" si="5"/>
        <v>23.296990028888253</v>
      </c>
      <c r="Z25" s="733">
        <f t="shared" si="3"/>
        <v>0.032199999999999986</v>
      </c>
      <c r="AA25" s="733">
        <f t="shared" si="2"/>
        <v>0.06215432406518473</v>
      </c>
    </row>
    <row r="26" spans="1:27" ht="12.75">
      <c r="A26" s="55"/>
      <c r="I26" s="55"/>
      <c r="J26" s="55"/>
      <c r="K26" s="55"/>
      <c r="Q26" s="729" t="s">
        <v>261</v>
      </c>
      <c r="R26" s="731">
        <v>0.3</v>
      </c>
      <c r="X26" s="735">
        <f t="shared" si="4"/>
        <v>79.7193877551021</v>
      </c>
      <c r="Y26" s="735">
        <f t="shared" si="5"/>
        <v>23.86609529466671</v>
      </c>
      <c r="Z26" s="733">
        <f t="shared" si="3"/>
        <v>0.033599999999999984</v>
      </c>
      <c r="AA26" s="733">
        <f t="shared" si="2"/>
        <v>0.061408794158491674</v>
      </c>
    </row>
    <row r="27" spans="1:27" ht="12.75">
      <c r="A27" s="55"/>
      <c r="I27" s="55"/>
      <c r="J27" s="55"/>
      <c r="K27" s="55"/>
      <c r="Q27" s="729"/>
      <c r="R27" s="730"/>
      <c r="X27" s="735">
        <f t="shared" si="4"/>
        <v>73.46938775510209</v>
      </c>
      <c r="Y27" s="735">
        <f t="shared" si="5"/>
        <v>24.489795918367335</v>
      </c>
      <c r="Z27" s="733">
        <f t="shared" si="3"/>
        <v>0.03499999999999998</v>
      </c>
      <c r="AA27" s="733">
        <f t="shared" si="2"/>
        <v>0.06062177826491072</v>
      </c>
    </row>
    <row r="28" spans="1:27" ht="12.75">
      <c r="A28" s="55"/>
      <c r="I28" s="55"/>
      <c r="J28" s="55"/>
      <c r="K28" s="55"/>
      <c r="Q28" s="729" t="s">
        <v>262</v>
      </c>
      <c r="R28" s="731">
        <v>0.07</v>
      </c>
      <c r="X28" s="735">
        <f t="shared" si="4"/>
        <v>67.92657891558999</v>
      </c>
      <c r="Y28" s="735">
        <f t="shared" si="5"/>
        <v>25.17454350161115</v>
      </c>
      <c r="Z28" s="733">
        <f t="shared" si="3"/>
        <v>0.03639999999999998</v>
      </c>
      <c r="AA28" s="733">
        <f t="shared" si="2"/>
        <v>0.05979163821137536</v>
      </c>
    </row>
    <row r="29" spans="1:27" ht="12.75">
      <c r="A29" s="55" t="s">
        <v>145</v>
      </c>
      <c r="I29" s="55"/>
      <c r="J29" s="55"/>
      <c r="K29" s="55"/>
      <c r="X29" s="735">
        <f t="shared" si="4"/>
        <v>62.988158226253525</v>
      </c>
      <c r="Y29" s="735">
        <f t="shared" si="5"/>
        <v>25.92793187291855</v>
      </c>
      <c r="Z29" s="733">
        <f t="shared" si="3"/>
        <v>0.03779999999999998</v>
      </c>
      <c r="AA29" s="733">
        <f t="shared" si="2"/>
        <v>0.05891655115500229</v>
      </c>
    </row>
    <row r="30" spans="1:27" ht="12.75">
      <c r="A30" s="60" t="s">
        <v>144</v>
      </c>
      <c r="I30" s="55"/>
      <c r="J30" s="55"/>
      <c r="K30" s="55"/>
      <c r="X30" s="735">
        <f t="shared" si="4"/>
        <v>58.56934610578932</v>
      </c>
      <c r="Y30" s="735">
        <f t="shared" si="5"/>
        <v>26.75895533038388</v>
      </c>
      <c r="Z30" s="733">
        <f t="shared" si="3"/>
        <v>0.03919999999999998</v>
      </c>
      <c r="AA30" s="733">
        <f t="shared" si="2"/>
        <v>0.057994482496182366</v>
      </c>
    </row>
    <row r="31" spans="1:27" ht="12.75">
      <c r="A31" s="55"/>
      <c r="I31" s="55"/>
      <c r="J31" s="55"/>
      <c r="K31" s="55"/>
      <c r="X31" s="735">
        <f t="shared" si="4"/>
        <v>54.59972336140169</v>
      </c>
      <c r="Y31" s="735">
        <f t="shared" si="5"/>
        <v>27.678340775731602</v>
      </c>
      <c r="Z31" s="733">
        <f t="shared" si="3"/>
        <v>0.040599999999999976</v>
      </c>
      <c r="AA31" s="733">
        <f t="shared" si="2"/>
        <v>0.057023153192365665</v>
      </c>
    </row>
    <row r="32" spans="1:27" ht="12.75">
      <c r="A32" s="55"/>
      <c r="I32" s="55"/>
      <c r="J32" s="55"/>
      <c r="K32" s="55"/>
      <c r="L32" t="s">
        <v>208</v>
      </c>
      <c r="X32" s="735">
        <f t="shared" si="4"/>
        <v>51.020408163265365</v>
      </c>
      <c r="Y32" s="735">
        <f t="shared" si="5"/>
        <v>28.69897959183671</v>
      </c>
      <c r="Z32" s="733">
        <f t="shared" si="3"/>
        <v>0.041999999999999975</v>
      </c>
      <c r="AA32" s="733">
        <f t="shared" si="2"/>
        <v>0.05600000000000002</v>
      </c>
    </row>
    <row r="33" spans="1:27" ht="12.75">
      <c r="A33" s="55"/>
      <c r="I33" s="55"/>
      <c r="J33" s="55"/>
      <c r="K33" s="55"/>
      <c r="X33" s="735">
        <f t="shared" si="4"/>
        <v>47.7818598823505</v>
      </c>
      <c r="Y33" s="735">
        <f t="shared" si="5"/>
        <v>29.8364960019095</v>
      </c>
      <c r="Z33" s="733">
        <f t="shared" si="3"/>
        <v>0.04339999999999997</v>
      </c>
      <c r="AA33" s="733">
        <f t="shared" si="2"/>
        <v>0.054922126688612516</v>
      </c>
    </row>
    <row r="34" spans="1:27" ht="12.75">
      <c r="A34" s="55"/>
      <c r="I34" s="55"/>
      <c r="J34" s="55"/>
      <c r="K34" s="55"/>
      <c r="L34" t="s">
        <v>210</v>
      </c>
      <c r="X34" s="735">
        <f t="shared" si="4"/>
        <v>44.84215561224495</v>
      </c>
      <c r="Y34" s="735">
        <f t="shared" si="5"/>
        <v>31.110004977600752</v>
      </c>
      <c r="Z34" s="733">
        <f t="shared" si="3"/>
        <v>0.04479999999999997</v>
      </c>
      <c r="AA34" s="733">
        <f t="shared" si="2"/>
        <v>0.05378624359443596</v>
      </c>
    </row>
    <row r="35" spans="1:27" ht="12.75">
      <c r="A35" s="55"/>
      <c r="I35" s="55"/>
      <c r="J35" s="55"/>
      <c r="K35" s="55"/>
      <c r="X35" s="735">
        <f t="shared" si="4"/>
        <v>42.16562658121105</v>
      </c>
      <c r="Y35" s="735">
        <f t="shared" si="5"/>
        <v>32.543137737022484</v>
      </c>
      <c r="Z35" s="733">
        <f t="shared" si="3"/>
        <v>0.04619999999999997</v>
      </c>
      <c r="AA35" s="733">
        <f t="shared" si="2"/>
        <v>0.052588591918780285</v>
      </c>
    </row>
    <row r="36" spans="1:27" ht="12.75">
      <c r="A36" s="55"/>
      <c r="I36" s="55"/>
      <c r="J36" s="55"/>
      <c r="K36" s="55"/>
      <c r="X36" s="735">
        <f t="shared" si="4"/>
        <v>39.72177106136578</v>
      </c>
      <c r="Y36" s="735">
        <f t="shared" si="5"/>
        <v>34.165451895043674</v>
      </c>
      <c r="Z36" s="733">
        <f t="shared" si="3"/>
        <v>0.04759999999999997</v>
      </c>
      <c r="AA36" s="733">
        <f t="shared" si="2"/>
        <v>0.05132484778350545</v>
      </c>
    </row>
    <row r="37" spans="1:27" ht="12.75">
      <c r="A37" s="55"/>
      <c r="I37" s="55"/>
      <c r="J37" s="55"/>
      <c r="K37" s="55"/>
      <c r="X37" s="735">
        <f t="shared" si="4"/>
        <v>37.48438150770517</v>
      </c>
      <c r="Y37" s="735">
        <f t="shared" si="5"/>
        <v>36.01440576230487</v>
      </c>
      <c r="Z37" s="733">
        <f t="shared" si="3"/>
        <v>0.04899999999999997</v>
      </c>
      <c r="AA37" s="733">
        <f t="shared" si="2"/>
        <v>0.04998999899979999</v>
      </c>
    </row>
    <row r="38" spans="1:27" ht="12.75">
      <c r="A38" s="55"/>
      <c r="I38" s="55"/>
      <c r="J38" s="55"/>
      <c r="K38" s="55"/>
      <c r="X38" s="735">
        <f t="shared" si="4"/>
        <v>35.43083900226762</v>
      </c>
      <c r="Y38" s="735">
        <f t="shared" si="5"/>
        <v>38.13817885958363</v>
      </c>
      <c r="Z38" s="733">
        <f t="shared" si="3"/>
        <v>0.050399999999999966</v>
      </c>
      <c r="AA38" s="733">
        <f t="shared" si="2"/>
        <v>0.04857818440411296</v>
      </c>
    </row>
    <row r="39" spans="1:27" ht="12.75">
      <c r="A39" s="55"/>
      <c r="I39" s="55"/>
      <c r="J39" s="55"/>
      <c r="K39" s="55"/>
      <c r="X39" s="735">
        <f t="shared" si="4"/>
        <v>33.541539333045165</v>
      </c>
      <c r="Y39" s="735">
        <f t="shared" si="5"/>
        <v>40.5997942943755</v>
      </c>
      <c r="Z39" s="733">
        <f t="shared" si="3"/>
        <v>0.051799999999999964</v>
      </c>
      <c r="AA39" s="733">
        <f t="shared" si="2"/>
        <v>0.04708248081824071</v>
      </c>
    </row>
    <row r="40" spans="1:27" ht="12.75">
      <c r="A40" s="55"/>
      <c r="I40" s="55"/>
      <c r="J40" s="55"/>
      <c r="K40" s="55"/>
      <c r="X40" s="735">
        <f t="shared" si="4"/>
        <v>31.799423370456257</v>
      </c>
      <c r="Y40" s="735">
        <f t="shared" si="5"/>
        <v>43.48330241187373</v>
      </c>
      <c r="Z40" s="733">
        <f t="shared" si="3"/>
        <v>0.05319999999999996</v>
      </c>
      <c r="AA40" s="733">
        <f t="shared" si="2"/>
        <v>0.04549461506596143</v>
      </c>
    </row>
    <row r="41" spans="1:27" ht="12.75">
      <c r="A41" s="55"/>
      <c r="I41" s="55"/>
      <c r="J41" s="55"/>
      <c r="K41" s="55"/>
      <c r="X41" s="735">
        <f t="shared" si="4"/>
        <v>30.18959062915111</v>
      </c>
      <c r="Y41" s="735">
        <f t="shared" si="5"/>
        <v>46.90333743303234</v>
      </c>
      <c r="Z41" s="733">
        <f t="shared" si="3"/>
        <v>0.05459999999999996</v>
      </c>
      <c r="AA41" s="733">
        <f t="shared" si="2"/>
        <v>0.0438045659720537</v>
      </c>
    </row>
    <row r="42" spans="1:27" ht="12.75">
      <c r="A42" s="55"/>
      <c r="I42" s="55"/>
      <c r="J42" s="55"/>
      <c r="K42" s="55"/>
      <c r="X42" s="735">
        <f t="shared" si="4"/>
        <v>28.69897959183678</v>
      </c>
      <c r="Y42" s="735">
        <f t="shared" si="5"/>
        <v>51.02040816326516</v>
      </c>
      <c r="Z42" s="733">
        <f t="shared" si="3"/>
        <v>0.05599999999999996</v>
      </c>
      <c r="AA42" s="733">
        <f t="shared" si="2"/>
        <v>0.04200000000000006</v>
      </c>
    </row>
    <row r="43" spans="1:27" ht="12.75">
      <c r="A43" s="55"/>
      <c r="I43" s="55"/>
      <c r="J43" s="55"/>
      <c r="K43" s="55"/>
      <c r="X43" s="735">
        <f t="shared" si="4"/>
        <v>27.31610193155195</v>
      </c>
      <c r="Y43" s="735">
        <f t="shared" si="5"/>
        <v>56.06638259699464</v>
      </c>
      <c r="Z43" s="733">
        <f t="shared" si="3"/>
        <v>0.05739999999999996</v>
      </c>
      <c r="AA43" s="733">
        <f t="shared" si="2"/>
        <v>0.04006544645951179</v>
      </c>
    </row>
    <row r="44" spans="1:27" ht="12.75">
      <c r="A44" s="55"/>
      <c r="I44" s="55"/>
      <c r="J44" s="55"/>
      <c r="K44" s="55"/>
      <c r="X44" s="735">
        <f t="shared" si="4"/>
        <v>26.030820491461927</v>
      </c>
      <c r="Y44" s="735">
        <f t="shared" si="5"/>
        <v>62.38908606921003</v>
      </c>
      <c r="Z44" s="733">
        <f t="shared" si="3"/>
        <v>0.058799999999999956</v>
      </c>
      <c r="AA44" s="733">
        <f t="shared" si="2"/>
        <v>0.03798104790550158</v>
      </c>
    </row>
    <row r="45" spans="1:27" ht="12.75">
      <c r="A45" s="55"/>
      <c r="I45" s="55"/>
      <c r="J45" s="55"/>
      <c r="K45" s="55"/>
      <c r="X45" s="735">
        <f t="shared" si="4"/>
        <v>24.83416297833361</v>
      </c>
      <c r="Y45" s="735">
        <f t="shared" si="5"/>
        <v>70.53512649299316</v>
      </c>
      <c r="Z45" s="733">
        <f t="shared" si="3"/>
        <v>0.060199999999999955</v>
      </c>
      <c r="AA45" s="733">
        <f t="shared" si="2"/>
        <v>0.03572058230208469</v>
      </c>
    </row>
    <row r="46" spans="1:27" ht="12.75">
      <c r="A46" s="55"/>
      <c r="I46" s="55"/>
      <c r="J46" s="55"/>
      <c r="K46" s="55"/>
      <c r="X46" s="735">
        <f t="shared" si="4"/>
        <v>23.718164951931218</v>
      </c>
      <c r="Y46" s="735">
        <f t="shared" si="5"/>
        <v>81.41554494138032</v>
      </c>
      <c r="Z46" s="733">
        <f t="shared" si="3"/>
        <v>0.06159999999999995</v>
      </c>
      <c r="AA46" s="733">
        <f t="shared" si="2"/>
        <v>0.033248157843706265</v>
      </c>
    </row>
    <row r="47" spans="1:27" ht="12.75">
      <c r="A47" s="55"/>
      <c r="B47" s="55"/>
      <c r="C47" s="55"/>
      <c r="D47" s="55"/>
      <c r="E47" s="55"/>
      <c r="F47" s="55"/>
      <c r="G47" s="55"/>
      <c r="I47" s="55"/>
      <c r="J47" s="55"/>
      <c r="K47" s="55"/>
      <c r="X47" s="735">
        <f t="shared" si="4"/>
        <v>22.67573696145127</v>
      </c>
      <c r="Y47" s="735">
        <f t="shared" si="5"/>
        <v>96.67024704618632</v>
      </c>
      <c r="Z47" s="733">
        <f t="shared" si="3"/>
        <v>0.06299999999999996</v>
      </c>
      <c r="AA47" s="733">
        <f t="shared" si="2"/>
        <v>0.030512292604784805</v>
      </c>
    </row>
    <row r="48" spans="1:27" ht="12.75">
      <c r="A48" s="55"/>
      <c r="B48" s="55"/>
      <c r="C48" s="55"/>
      <c r="D48" s="55"/>
      <c r="E48" s="55"/>
      <c r="F48" s="55"/>
      <c r="G48" s="55"/>
      <c r="I48" s="55"/>
      <c r="J48" s="55"/>
      <c r="K48" s="55"/>
      <c r="X48" s="734">
        <f t="shared" si="4"/>
        <v>21.700551676247084</v>
      </c>
      <c r="Y48" s="734">
        <f t="shared" si="5"/>
        <v>119.57908163265215</v>
      </c>
      <c r="Z48" s="733">
        <f t="shared" si="3"/>
        <v>0.06439999999999996</v>
      </c>
      <c r="AA48" s="733">
        <f t="shared" si="2"/>
        <v>0.0274342851191717</v>
      </c>
    </row>
    <row r="49" spans="1:27" ht="12.75">
      <c r="A49" s="55"/>
      <c r="B49" s="55"/>
      <c r="C49" s="55"/>
      <c r="D49" s="55"/>
      <c r="E49" s="55"/>
      <c r="F49" s="55"/>
      <c r="G49" s="55"/>
      <c r="I49" s="55"/>
      <c r="J49" s="55"/>
      <c r="K49" s="55"/>
      <c r="X49" s="734">
        <f t="shared" si="4"/>
        <v>20.786947644607892</v>
      </c>
      <c r="Y49" s="734">
        <f t="shared" si="5"/>
        <v>157.7950767936022</v>
      </c>
      <c r="Z49" s="733">
        <f t="shared" si="3"/>
        <v>0.06579999999999996</v>
      </c>
      <c r="AA49" s="733">
        <f t="shared" si="2"/>
        <v>0.023882210952924914</v>
      </c>
    </row>
    <row r="50" spans="1:27" ht="12.75">
      <c r="A50" s="55"/>
      <c r="I50" s="55"/>
      <c r="J50" s="55"/>
      <c r="K50" s="55"/>
      <c r="X50" s="734">
        <f t="shared" si="4"/>
        <v>19.929846938775537</v>
      </c>
      <c r="Y50" s="734">
        <f t="shared" si="5"/>
        <v>234.27738442315294</v>
      </c>
      <c r="Z50" s="733">
        <f t="shared" si="3"/>
        <v>0.06719999999999995</v>
      </c>
      <c r="AA50" s="733">
        <f t="shared" si="2"/>
        <v>0.01960000000000017</v>
      </c>
    </row>
    <row r="51" spans="1:27" ht="12.75">
      <c r="A51" s="55"/>
      <c r="I51" s="55"/>
      <c r="J51" s="55"/>
      <c r="K51" s="55"/>
      <c r="X51" s="734">
        <f t="shared" si="4"/>
        <v>19.12468444270672</v>
      </c>
      <c r="Y51" s="734">
        <f t="shared" si="5"/>
        <v>463.8218923933034</v>
      </c>
      <c r="Z51" s="733">
        <f t="shared" si="3"/>
        <v>0.06859999999999995</v>
      </c>
      <c r="AA51" s="733">
        <f t="shared" si="2"/>
        <v>0.013929824119492942</v>
      </c>
    </row>
    <row r="52" spans="1:27" ht="12.75">
      <c r="A52" s="55"/>
      <c r="I52" s="55"/>
      <c r="J52" s="55"/>
      <c r="K52" s="55"/>
      <c r="X52" s="734"/>
      <c r="Y52" s="734"/>
      <c r="Z52" s="733"/>
      <c r="AA52" s="733"/>
    </row>
    <row r="53" spans="1:26" ht="12.75">
      <c r="A53" s="55"/>
      <c r="I53" s="55"/>
      <c r="J53" s="55"/>
      <c r="K53" s="55"/>
      <c r="Z53" s="733"/>
    </row>
    <row r="54" spans="1:26" ht="12.75">
      <c r="A54" s="55" t="s">
        <v>145</v>
      </c>
      <c r="I54" s="55"/>
      <c r="J54" s="55"/>
      <c r="K54" s="55"/>
      <c r="Z54" s="733"/>
    </row>
    <row r="55" spans="1:26" ht="12.75">
      <c r="A55" s="60" t="s">
        <v>144</v>
      </c>
      <c r="I55" s="55"/>
      <c r="J55" s="55"/>
      <c r="K55" s="55"/>
      <c r="Z55" s="733"/>
    </row>
    <row r="56" spans="1:26" ht="12.75">
      <c r="A56" s="55"/>
      <c r="I56" s="55"/>
      <c r="J56" s="55"/>
      <c r="K56" s="55"/>
      <c r="L56" t="s">
        <v>208</v>
      </c>
      <c r="Z56" s="733"/>
    </row>
    <row r="57" spans="1:26" ht="12.75">
      <c r="A57" s="55"/>
      <c r="I57" s="55"/>
      <c r="J57" s="55"/>
      <c r="K57" s="55"/>
      <c r="Z57" s="733"/>
    </row>
    <row r="58" spans="1:26" ht="12.75">
      <c r="A58" s="55"/>
      <c r="I58" s="55"/>
      <c r="J58" s="55"/>
      <c r="K58" s="55"/>
      <c r="L58" t="s">
        <v>141</v>
      </c>
      <c r="Z58" s="733"/>
    </row>
    <row r="59" spans="1:26" ht="12.75">
      <c r="A59" s="55"/>
      <c r="I59" s="55"/>
      <c r="J59" s="55"/>
      <c r="K59" s="55"/>
      <c r="Z59" s="733"/>
    </row>
    <row r="60" spans="1:26" ht="12.75">
      <c r="A60" s="55"/>
      <c r="I60" s="55"/>
      <c r="J60" s="55"/>
      <c r="K60" s="55"/>
      <c r="Z60" s="733"/>
    </row>
    <row r="61" spans="1:11" ht="12.75">
      <c r="A61" s="55"/>
      <c r="I61" s="55"/>
      <c r="J61" s="55"/>
      <c r="K61" s="55"/>
    </row>
    <row r="62" spans="1:11" ht="12.75">
      <c r="A62" s="55"/>
      <c r="I62" s="55"/>
      <c r="J62" s="55"/>
      <c r="K62" s="55"/>
    </row>
    <row r="63" spans="1:11" ht="12.75">
      <c r="A63" s="55"/>
      <c r="I63" s="55"/>
      <c r="J63" s="55"/>
      <c r="K63" s="55"/>
    </row>
    <row r="64" spans="1:11" ht="12.75">
      <c r="A64" s="55"/>
      <c r="I64" s="55"/>
      <c r="J64" s="55"/>
      <c r="K64" s="55"/>
    </row>
    <row r="65" spans="1:11" ht="12.75">
      <c r="A65" s="55"/>
      <c r="I65" s="55"/>
      <c r="J65" s="55"/>
      <c r="K65" s="55"/>
    </row>
    <row r="66" spans="1:11" ht="12.75">
      <c r="A66" s="55"/>
      <c r="I66" s="55"/>
      <c r="J66" s="55"/>
      <c r="K66" s="55"/>
    </row>
    <row r="67" spans="1:11" ht="12.75">
      <c r="A67" s="55"/>
      <c r="I67" s="55"/>
      <c r="J67" s="55"/>
      <c r="K67" s="55"/>
    </row>
    <row r="68" spans="1:11" ht="12.75">
      <c r="A68" s="55"/>
      <c r="I68" s="55"/>
      <c r="J68" s="55"/>
      <c r="K68" s="55"/>
    </row>
    <row r="69" spans="1:11" ht="12.75">
      <c r="A69" s="55"/>
      <c r="I69" s="55"/>
      <c r="J69" s="55"/>
      <c r="K69" s="55"/>
    </row>
    <row r="70" spans="1:11" ht="12.75">
      <c r="A70" s="55"/>
      <c r="I70" s="55"/>
      <c r="J70" s="55"/>
      <c r="K70" s="55"/>
    </row>
    <row r="71" spans="1:11" ht="12.75">
      <c r="A71" s="55"/>
      <c r="I71" s="55"/>
      <c r="J71" s="55"/>
      <c r="K71" s="55"/>
    </row>
    <row r="72" spans="1:11" ht="12.75">
      <c r="A72" s="55"/>
      <c r="I72" s="55"/>
      <c r="J72" s="55"/>
      <c r="K72" s="55"/>
    </row>
    <row r="73" spans="1:11" ht="12.75">
      <c r="A73" s="55"/>
      <c r="I73" s="55"/>
      <c r="J73" s="55"/>
      <c r="K73" s="55"/>
    </row>
    <row r="74" spans="1:11" ht="12.75">
      <c r="A74" s="55"/>
      <c r="I74" s="55"/>
      <c r="J74" s="55"/>
      <c r="K74" s="55"/>
    </row>
    <row r="75" spans="1:11" ht="12.75">
      <c r="A75" s="55"/>
      <c r="I75" s="55"/>
      <c r="J75" s="55"/>
      <c r="K75" s="55"/>
    </row>
    <row r="76" spans="1:11" ht="12.75">
      <c r="A76" s="55"/>
      <c r="I76" s="55"/>
      <c r="J76" s="55"/>
      <c r="K76" s="55"/>
    </row>
    <row r="77" spans="1:11" ht="12.75">
      <c r="A77" s="55" t="s">
        <v>145</v>
      </c>
      <c r="I77" s="55"/>
      <c r="J77" s="55"/>
      <c r="K77" s="55"/>
    </row>
    <row r="78" spans="1:11" ht="12.75">
      <c r="A78" s="60" t="s">
        <v>144</v>
      </c>
      <c r="I78" s="55"/>
      <c r="J78" s="55"/>
      <c r="K78" s="55"/>
    </row>
    <row r="79" spans="1:11" ht="12.75">
      <c r="A79" s="55"/>
      <c r="I79" s="55"/>
      <c r="J79" s="55"/>
      <c r="K79" s="55"/>
    </row>
    <row r="80" spans="1:11" ht="12.75">
      <c r="A80" s="55"/>
      <c r="I80" s="55"/>
      <c r="J80" s="55"/>
      <c r="K80" s="55"/>
    </row>
    <row r="81" spans="1:11" ht="12.75">
      <c r="A81" s="55"/>
      <c r="I81" s="55"/>
      <c r="J81" s="55"/>
      <c r="K81" s="55"/>
    </row>
    <row r="82" spans="1:12" ht="12.75">
      <c r="A82" s="55"/>
      <c r="I82" s="55"/>
      <c r="J82" s="55"/>
      <c r="K82" s="55"/>
      <c r="L82" t="s">
        <v>208</v>
      </c>
    </row>
    <row r="83" spans="1:11" ht="12.75">
      <c r="A83" s="55"/>
      <c r="I83" s="55"/>
      <c r="J83" s="55"/>
      <c r="K83" s="55"/>
    </row>
    <row r="84" spans="1:12" ht="12.75">
      <c r="A84" s="55"/>
      <c r="I84" s="55"/>
      <c r="J84" s="55"/>
      <c r="K84" s="55"/>
      <c r="L84" t="s">
        <v>141</v>
      </c>
    </row>
    <row r="85" spans="1:12" ht="12.75">
      <c r="A85" s="55"/>
      <c r="I85" s="55"/>
      <c r="J85" s="55"/>
      <c r="K85" s="55"/>
      <c r="L85" t="s">
        <v>211</v>
      </c>
    </row>
    <row r="86" spans="1:12" ht="12.75">
      <c r="A86" s="55"/>
      <c r="I86" s="55"/>
      <c r="J86" s="55"/>
      <c r="K86" s="55"/>
      <c r="L86" t="s">
        <v>212</v>
      </c>
    </row>
    <row r="87" spans="1:11" ht="12.75">
      <c r="A87" s="55"/>
      <c r="I87" s="55"/>
      <c r="J87" s="55"/>
      <c r="K87" s="55"/>
    </row>
    <row r="88" spans="1:11" ht="12.75">
      <c r="A88" s="55"/>
      <c r="I88" s="55"/>
      <c r="J88" s="55"/>
      <c r="K88" s="55"/>
    </row>
    <row r="89" spans="1:11" ht="12.75">
      <c r="A89" s="55"/>
      <c r="I89" s="55"/>
      <c r="J89" s="55"/>
      <c r="K89" s="55"/>
    </row>
    <row r="90" spans="1:11" ht="12.75">
      <c r="A90" s="55"/>
      <c r="I90" s="55"/>
      <c r="J90" s="55"/>
      <c r="K90" s="55"/>
    </row>
    <row r="91" spans="1:11" ht="12.75">
      <c r="A91" s="55"/>
      <c r="I91" s="55"/>
      <c r="J91" s="55"/>
      <c r="K91" s="55"/>
    </row>
    <row r="92" spans="1:11" ht="12.75">
      <c r="A92" s="55"/>
      <c r="I92" s="55"/>
      <c r="J92" s="55"/>
      <c r="K92" s="55"/>
    </row>
    <row r="93" spans="1:11" ht="12.75">
      <c r="A93" s="55"/>
      <c r="B93" s="55"/>
      <c r="C93" s="55"/>
      <c r="D93" s="55"/>
      <c r="E93" s="55"/>
      <c r="F93" s="55"/>
      <c r="G93" s="55"/>
      <c r="I93" s="55"/>
      <c r="J93" s="55"/>
      <c r="K93" s="55"/>
    </row>
    <row r="94" spans="1:11" ht="12.75">
      <c r="A94" s="55"/>
      <c r="B94" s="55"/>
      <c r="C94" s="55"/>
      <c r="D94" s="55"/>
      <c r="E94" s="55"/>
      <c r="F94" s="55"/>
      <c r="G94" s="55"/>
      <c r="I94" s="55"/>
      <c r="J94" s="55"/>
      <c r="K94" s="55"/>
    </row>
    <row r="95" spans="1:11" ht="12.75">
      <c r="A95" s="55"/>
      <c r="I95" s="55"/>
      <c r="J95" s="55"/>
      <c r="K95" s="55"/>
    </row>
    <row r="96" spans="1:11" ht="12.75">
      <c r="A96" s="55"/>
      <c r="I96" s="55"/>
      <c r="J96" s="55"/>
      <c r="K96" s="55"/>
    </row>
    <row r="97" spans="1:12" ht="12.75">
      <c r="A97" s="55"/>
      <c r="I97" s="55"/>
      <c r="J97" s="55"/>
      <c r="K97" s="55"/>
      <c r="L97" t="s">
        <v>213</v>
      </c>
    </row>
    <row r="98" spans="1:12" ht="12.75">
      <c r="A98" s="55"/>
      <c r="I98" s="55"/>
      <c r="J98" s="55"/>
      <c r="K98" s="55"/>
      <c r="L98" t="s">
        <v>214</v>
      </c>
    </row>
    <row r="99" spans="1:12" ht="12.75">
      <c r="A99" s="55"/>
      <c r="I99" s="55"/>
      <c r="J99" s="55"/>
      <c r="K99" s="55"/>
      <c r="L99" t="s">
        <v>3</v>
      </c>
    </row>
    <row r="100" spans="1:11" ht="12.75">
      <c r="A100" s="55" t="s">
        <v>145</v>
      </c>
      <c r="I100" s="55"/>
      <c r="J100" s="55"/>
      <c r="K100" s="55"/>
    </row>
    <row r="101" spans="1:11" ht="12.75">
      <c r="A101" s="60" t="s">
        <v>144</v>
      </c>
      <c r="I101" s="55"/>
      <c r="J101" s="55"/>
      <c r="K101" s="55"/>
    </row>
    <row r="102" spans="1:11" ht="12.75">
      <c r="A102" s="55"/>
      <c r="I102" s="55"/>
      <c r="J102" s="55"/>
      <c r="K102" s="55"/>
    </row>
    <row r="103" spans="1:11" ht="12.75">
      <c r="A103" s="55"/>
      <c r="I103" s="55"/>
      <c r="J103" s="55"/>
      <c r="K103" s="55"/>
    </row>
    <row r="104" spans="1:11" ht="12.75">
      <c r="A104" s="55"/>
      <c r="I104" s="55"/>
      <c r="J104" s="55"/>
      <c r="K104" s="55"/>
    </row>
    <row r="105" spans="1:11" ht="12.75">
      <c r="A105" s="55"/>
      <c r="I105" s="55"/>
      <c r="J105" s="55"/>
      <c r="K105" s="55"/>
    </row>
    <row r="106" spans="1:11" ht="12.75">
      <c r="A106" s="55"/>
      <c r="I106" s="55"/>
      <c r="J106" s="55"/>
      <c r="K106" s="55"/>
    </row>
    <row r="107" spans="1:11" ht="12.75">
      <c r="A107" s="55"/>
      <c r="I107" s="55"/>
      <c r="J107" s="55"/>
      <c r="K107" s="55"/>
    </row>
    <row r="108" spans="1:11" ht="12.75">
      <c r="A108" s="55"/>
      <c r="I108" s="55"/>
      <c r="J108" s="55"/>
      <c r="K108" s="55"/>
    </row>
    <row r="109" spans="1:11" ht="12.75">
      <c r="A109" s="55"/>
      <c r="I109" s="55"/>
      <c r="J109" s="55"/>
      <c r="K109" s="55"/>
    </row>
    <row r="110" spans="1:11" ht="12.75">
      <c r="A110" s="55"/>
      <c r="I110" s="55"/>
      <c r="J110" s="55"/>
      <c r="K110" s="55"/>
    </row>
    <row r="111" spans="1:11" ht="12.75">
      <c r="A111" s="55"/>
      <c r="I111" s="55"/>
      <c r="J111" s="55"/>
      <c r="K111" s="55"/>
    </row>
    <row r="112" spans="1:11" ht="12.75">
      <c r="A112" s="55"/>
      <c r="I112" s="55"/>
      <c r="J112" s="55"/>
      <c r="K112" s="55"/>
    </row>
    <row r="113" spans="1:11" ht="12.75">
      <c r="A113" s="55"/>
      <c r="I113" s="55"/>
      <c r="J113" s="55"/>
      <c r="K113" s="55"/>
    </row>
    <row r="114" spans="1:11" ht="12.75">
      <c r="A114" s="55"/>
      <c r="I114" s="55"/>
      <c r="J114" s="55"/>
      <c r="K114" s="55"/>
    </row>
    <row r="115" spans="1:11" ht="12.75">
      <c r="A115" s="55"/>
      <c r="I115" s="55"/>
      <c r="J115" s="55"/>
      <c r="K115" s="55"/>
    </row>
    <row r="116" spans="1:11" ht="12.75">
      <c r="A116" s="55"/>
      <c r="B116" s="55"/>
      <c r="C116" s="55"/>
      <c r="D116" s="55"/>
      <c r="E116" s="55"/>
      <c r="F116" s="55"/>
      <c r="G116" s="55"/>
      <c r="I116" s="55"/>
      <c r="J116" s="55"/>
      <c r="K116" s="55"/>
    </row>
    <row r="117" spans="1:11" ht="12.75">
      <c r="A117" s="55"/>
      <c r="B117" s="55"/>
      <c r="C117" s="55"/>
      <c r="D117" s="55"/>
      <c r="E117" s="55"/>
      <c r="F117" s="55"/>
      <c r="G117" s="55"/>
      <c r="I117" s="55"/>
      <c r="J117" s="55"/>
      <c r="K117" s="55"/>
    </row>
    <row r="118" spans="1:11" ht="12.75">
      <c r="A118" s="55"/>
      <c r="B118" s="55"/>
      <c r="C118" s="55"/>
      <c r="D118" s="55"/>
      <c r="E118" s="55"/>
      <c r="F118" s="55"/>
      <c r="G118" s="55"/>
      <c r="I118" s="55"/>
      <c r="J118" s="55"/>
      <c r="K118" s="55"/>
    </row>
    <row r="119" spans="1:11" ht="12.75">
      <c r="A119" s="55"/>
      <c r="B119" s="55"/>
      <c r="C119" s="55"/>
      <c r="D119" s="55"/>
      <c r="E119" s="55"/>
      <c r="F119" s="55"/>
      <c r="G119" s="55"/>
      <c r="I119" s="55"/>
      <c r="J119" s="55"/>
      <c r="K119" s="55"/>
    </row>
    <row r="120" spans="1:11" ht="12.75">
      <c r="A120" s="55"/>
      <c r="I120" s="55"/>
      <c r="J120" s="55"/>
      <c r="K120" s="55"/>
    </row>
    <row r="121" spans="1:11" ht="12.75">
      <c r="A121" s="55"/>
      <c r="I121" s="55"/>
      <c r="J121" s="55"/>
      <c r="K121" s="55"/>
    </row>
    <row r="122" spans="1:11" ht="12.75">
      <c r="A122" s="55"/>
      <c r="I122" s="55"/>
      <c r="J122" s="55"/>
      <c r="K122" s="55"/>
    </row>
    <row r="123" spans="1:12" ht="12.75">
      <c r="A123" s="55" t="s">
        <v>145</v>
      </c>
      <c r="I123" s="55"/>
      <c r="J123" s="55"/>
      <c r="K123" s="55"/>
      <c r="L123" t="s">
        <v>215</v>
      </c>
    </row>
    <row r="124" spans="1:12" ht="12.75">
      <c r="A124" s="60" t="s">
        <v>144</v>
      </c>
      <c r="I124" s="55"/>
      <c r="J124" s="55"/>
      <c r="K124" s="55"/>
      <c r="L124" t="s">
        <v>216</v>
      </c>
    </row>
    <row r="125" spans="1:12" ht="12.75">
      <c r="A125" s="55"/>
      <c r="I125" s="55"/>
      <c r="J125" s="55"/>
      <c r="K125" s="55"/>
      <c r="L125" t="s">
        <v>3</v>
      </c>
    </row>
    <row r="126" spans="1:11" ht="12.75">
      <c r="A126" s="55"/>
      <c r="I126" s="55"/>
      <c r="J126" s="55"/>
      <c r="K126" s="55"/>
    </row>
    <row r="127" spans="1:11" ht="12.75">
      <c r="A127" s="55"/>
      <c r="I127" s="55"/>
      <c r="J127" s="55"/>
      <c r="K127" s="55"/>
    </row>
    <row r="128" spans="1:11" ht="12.75">
      <c r="A128" s="55"/>
      <c r="I128" s="55"/>
      <c r="J128" s="55"/>
      <c r="K128" s="55"/>
    </row>
    <row r="129" spans="1:11" ht="12.75">
      <c r="A129" s="55"/>
      <c r="I129" s="55"/>
      <c r="J129" s="55"/>
      <c r="K129" s="55"/>
    </row>
    <row r="130" spans="1:11" ht="12.75">
      <c r="A130" s="55"/>
      <c r="I130" s="55"/>
      <c r="J130" s="55"/>
      <c r="K130" s="55"/>
    </row>
    <row r="131" spans="1:11" ht="12.75">
      <c r="A131" s="55"/>
      <c r="I131" s="55"/>
      <c r="J131" s="55"/>
      <c r="K131" s="55"/>
    </row>
    <row r="132" spans="1:11" ht="12.75">
      <c r="A132" s="55"/>
      <c r="I132" s="55"/>
      <c r="J132" s="55"/>
      <c r="K132" s="55"/>
    </row>
    <row r="133" spans="1:11" ht="12.75">
      <c r="A133" s="55"/>
      <c r="I133" s="55"/>
      <c r="J133" s="55"/>
      <c r="K133" s="55"/>
    </row>
    <row r="134" spans="1:11" ht="12.75">
      <c r="A134" s="55"/>
      <c r="I134" s="55"/>
      <c r="J134" s="55"/>
      <c r="K134" s="55"/>
    </row>
    <row r="135" spans="1:11" ht="12.75">
      <c r="A135" s="55"/>
      <c r="I135" s="55"/>
      <c r="J135" s="55"/>
      <c r="K135" s="55"/>
    </row>
    <row r="136" spans="1:11" ht="12.75">
      <c r="A136" s="55"/>
      <c r="I136" s="55"/>
      <c r="J136" s="55"/>
      <c r="K136" s="55"/>
    </row>
    <row r="137" spans="1:11" ht="12.75">
      <c r="A137" s="55"/>
      <c r="I137" s="55"/>
      <c r="J137" s="55"/>
      <c r="K137" s="55"/>
    </row>
    <row r="138" spans="1:11" ht="12.75">
      <c r="A138" s="55"/>
      <c r="I138" s="55"/>
      <c r="J138" s="55"/>
      <c r="K138" s="55"/>
    </row>
    <row r="139" spans="1:11" ht="12.75">
      <c r="A139" s="55"/>
      <c r="I139" s="55"/>
      <c r="J139" s="55"/>
      <c r="K139" s="55"/>
    </row>
    <row r="140" spans="1:11" ht="12.75">
      <c r="A140" s="55"/>
      <c r="B140" s="55"/>
      <c r="C140" s="55"/>
      <c r="D140" s="55"/>
      <c r="E140" s="55"/>
      <c r="F140" s="55"/>
      <c r="G140" s="55"/>
      <c r="I140" s="55"/>
      <c r="J140" s="55"/>
      <c r="K140" s="55"/>
    </row>
    <row r="141" spans="1:11" ht="12.75">
      <c r="A141" s="55"/>
      <c r="B141" s="55"/>
      <c r="C141" s="55"/>
      <c r="D141" s="55"/>
      <c r="E141" s="55"/>
      <c r="F141" s="55"/>
      <c r="G141" s="55"/>
      <c r="I141" s="55"/>
      <c r="J141" s="55"/>
      <c r="K141" s="55"/>
    </row>
    <row r="142" spans="1:11" ht="12.75">
      <c r="A142" s="55"/>
      <c r="B142" s="55"/>
      <c r="C142" s="55"/>
      <c r="D142" s="55"/>
      <c r="E142" s="55"/>
      <c r="F142" s="55"/>
      <c r="G142" s="55"/>
      <c r="I142" s="55"/>
      <c r="J142" s="55"/>
      <c r="K142" s="55"/>
    </row>
    <row r="143" spans="1:11" ht="12.75">
      <c r="A143" s="55"/>
      <c r="B143" s="55"/>
      <c r="C143" s="55"/>
      <c r="D143" s="55"/>
      <c r="E143" s="55"/>
      <c r="F143" s="55"/>
      <c r="G143" s="55"/>
      <c r="I143" s="55"/>
      <c r="J143" s="55"/>
      <c r="K143" s="55"/>
    </row>
    <row r="144" spans="1:11" ht="12.75">
      <c r="A144" s="55"/>
      <c r="B144" s="55"/>
      <c r="C144" s="55"/>
      <c r="D144" s="55"/>
      <c r="E144" s="55"/>
      <c r="F144" s="55"/>
      <c r="G144" s="55"/>
      <c r="I144" s="55"/>
      <c r="J144" s="55"/>
      <c r="K144" s="55"/>
    </row>
    <row r="145" spans="1:11" ht="12.75">
      <c r="A145" s="55"/>
      <c r="B145" s="55"/>
      <c r="C145" s="55"/>
      <c r="D145" s="55"/>
      <c r="E145" s="55"/>
      <c r="F145" s="55"/>
      <c r="G145" s="55"/>
      <c r="I145" s="55"/>
      <c r="J145" s="55"/>
      <c r="K145" s="55"/>
    </row>
    <row r="146" spans="1:11" ht="12.75">
      <c r="A146" s="55"/>
      <c r="B146" s="55"/>
      <c r="C146" s="55"/>
      <c r="D146" s="55"/>
      <c r="E146" s="55"/>
      <c r="F146" s="55"/>
      <c r="G146" s="55"/>
      <c r="I146" s="55"/>
      <c r="J146" s="55"/>
      <c r="K146" s="55"/>
    </row>
    <row r="147" spans="1:11" ht="12.75">
      <c r="A147" s="55"/>
      <c r="B147" s="55"/>
      <c r="C147" s="55"/>
      <c r="D147" s="55"/>
      <c r="E147" s="55"/>
      <c r="F147" s="55"/>
      <c r="G147" s="55"/>
      <c r="I147" s="55"/>
      <c r="J147" s="55"/>
      <c r="K147" s="55"/>
    </row>
    <row r="148" spans="1:11" ht="12.75">
      <c r="A148" s="55"/>
      <c r="B148" s="55"/>
      <c r="C148" s="55"/>
      <c r="D148" s="55"/>
      <c r="E148" s="55"/>
      <c r="F148" s="55"/>
      <c r="G148" s="55"/>
      <c r="I148" s="55"/>
      <c r="J148" s="55"/>
      <c r="K148" s="55"/>
    </row>
    <row r="149" spans="1:11" ht="12.75">
      <c r="A149" s="55"/>
      <c r="B149" s="55"/>
      <c r="C149" s="55"/>
      <c r="D149" s="55"/>
      <c r="E149" s="55"/>
      <c r="F149" s="55"/>
      <c r="G149" s="55"/>
      <c r="I149" s="55"/>
      <c r="J149" s="55"/>
      <c r="K149" s="55"/>
    </row>
    <row r="150" spans="1:11" ht="12.75">
      <c r="A150" s="55"/>
      <c r="B150" s="55"/>
      <c r="C150" s="55"/>
      <c r="D150" s="55"/>
      <c r="E150" s="55"/>
      <c r="F150" s="55"/>
      <c r="G150" s="55"/>
      <c r="I150" s="55"/>
      <c r="J150" s="55"/>
      <c r="K150" s="55"/>
    </row>
    <row r="151" spans="1:11" ht="12.75">
      <c r="A151" s="55"/>
      <c r="B151" s="55"/>
      <c r="C151" s="55"/>
      <c r="D151" s="55"/>
      <c r="E151" s="55"/>
      <c r="F151" s="55"/>
      <c r="G151" s="55"/>
      <c r="I151" s="55"/>
      <c r="J151" s="55"/>
      <c r="K151" s="55"/>
    </row>
    <row r="152" spans="1:11" ht="12.75">
      <c r="A152" s="55"/>
      <c r="B152" s="55"/>
      <c r="C152" s="55"/>
      <c r="D152" s="55"/>
      <c r="E152" s="55"/>
      <c r="F152" s="55"/>
      <c r="G152" s="55"/>
      <c r="I152" s="55"/>
      <c r="J152" s="55"/>
      <c r="K152" s="55"/>
    </row>
    <row r="153" spans="1:11" ht="12.75">
      <c r="A153" s="55"/>
      <c r="B153" s="55"/>
      <c r="C153" s="55"/>
      <c r="D153" s="55"/>
      <c r="E153" s="55"/>
      <c r="F153" s="55"/>
      <c r="G153" s="55"/>
      <c r="I153" s="55"/>
      <c r="J153" s="55"/>
      <c r="K153" s="55"/>
    </row>
    <row r="154" spans="1:11" ht="12.75">
      <c r="A154" s="55"/>
      <c r="B154" s="55"/>
      <c r="C154" s="55"/>
      <c r="D154" s="55"/>
      <c r="E154" s="55"/>
      <c r="F154" s="55"/>
      <c r="G154" s="55"/>
      <c r="I154" s="55"/>
      <c r="J154" s="55"/>
      <c r="K154" s="55"/>
    </row>
    <row r="155" spans="1:11" ht="12.75">
      <c r="A155" s="55"/>
      <c r="B155" s="55"/>
      <c r="C155" s="55"/>
      <c r="D155" s="55"/>
      <c r="E155" s="55"/>
      <c r="F155" s="55"/>
      <c r="G155" s="55"/>
      <c r="I155" s="55"/>
      <c r="J155" s="55"/>
      <c r="K155" s="55"/>
    </row>
    <row r="156" spans="1:11" ht="12.75">
      <c r="A156" s="55"/>
      <c r="B156" s="55"/>
      <c r="C156" s="55"/>
      <c r="D156" s="55"/>
      <c r="E156" s="55"/>
      <c r="F156" s="55"/>
      <c r="G156" s="55"/>
      <c r="I156" s="55"/>
      <c r="J156" s="55"/>
      <c r="K156" s="55"/>
    </row>
    <row r="157" spans="1:11" ht="12.75">
      <c r="A157" s="55"/>
      <c r="B157" s="55"/>
      <c r="C157" s="55"/>
      <c r="D157" s="55"/>
      <c r="E157" s="55"/>
      <c r="F157" s="55"/>
      <c r="G157" s="55"/>
      <c r="I157" s="55"/>
      <c r="J157" s="55"/>
      <c r="K157" s="55"/>
    </row>
    <row r="158" spans="1:11" ht="12.75">
      <c r="A158" s="55"/>
      <c r="B158" s="55"/>
      <c r="C158" s="55"/>
      <c r="D158" s="55"/>
      <c r="E158" s="55"/>
      <c r="F158" s="55"/>
      <c r="G158" s="55"/>
      <c r="I158" s="55"/>
      <c r="J158" s="55"/>
      <c r="K158" s="55"/>
    </row>
    <row r="159" spans="1:11" ht="12.75">
      <c r="A159" s="55"/>
      <c r="B159" s="55"/>
      <c r="C159" s="55"/>
      <c r="D159" s="55"/>
      <c r="E159" s="55"/>
      <c r="F159" s="55"/>
      <c r="G159" s="55"/>
      <c r="I159" s="55"/>
      <c r="J159" s="55"/>
      <c r="K159" s="55"/>
    </row>
    <row r="160" spans="1:11" ht="12.75">
      <c r="A160" s="55"/>
      <c r="B160" s="55"/>
      <c r="C160" s="55"/>
      <c r="D160" s="55"/>
      <c r="E160" s="55"/>
      <c r="F160" s="55"/>
      <c r="G160" s="55"/>
      <c r="I160" s="55"/>
      <c r="J160" s="55"/>
      <c r="K160" s="55"/>
    </row>
    <row r="161" spans="1:11" ht="12.75">
      <c r="A161" s="55"/>
      <c r="B161" s="55"/>
      <c r="C161" s="55"/>
      <c r="D161" s="55"/>
      <c r="E161" s="55"/>
      <c r="F161" s="55"/>
      <c r="G161" s="55"/>
      <c r="I161" s="55"/>
      <c r="J161" s="55"/>
      <c r="K161" s="55"/>
    </row>
    <row r="162" spans="1:11" ht="12.75">
      <c r="A162" s="55"/>
      <c r="B162" s="55"/>
      <c r="C162" s="55"/>
      <c r="D162" s="55"/>
      <c r="E162" s="55"/>
      <c r="F162" s="55"/>
      <c r="G162" s="55"/>
      <c r="I162" s="55"/>
      <c r="J162" s="55"/>
      <c r="K162" s="55"/>
    </row>
    <row r="163" spans="1:11" ht="12.75">
      <c r="A163" s="55"/>
      <c r="B163" s="55"/>
      <c r="C163" s="55"/>
      <c r="D163" s="55"/>
      <c r="E163" s="55"/>
      <c r="F163" s="55"/>
      <c r="G163" s="55"/>
      <c r="I163" s="55"/>
      <c r="J163" s="55"/>
      <c r="K163" s="55"/>
    </row>
    <row r="164" spans="1:11" ht="12.75">
      <c r="A164" s="55"/>
      <c r="B164" s="55"/>
      <c r="C164" s="55"/>
      <c r="D164" s="55"/>
      <c r="E164" s="55"/>
      <c r="F164" s="55"/>
      <c r="G164" s="55"/>
      <c r="I164" s="55"/>
      <c r="J164" s="55"/>
      <c r="K164" s="55"/>
    </row>
    <row r="165" spans="1:11" ht="12.75">
      <c r="A165" s="55"/>
      <c r="B165" s="55"/>
      <c r="C165" s="55"/>
      <c r="D165" s="55"/>
      <c r="E165" s="55"/>
      <c r="F165" s="55"/>
      <c r="G165" s="55"/>
      <c r="I165" s="55"/>
      <c r="J165" s="55"/>
      <c r="K165" s="55"/>
    </row>
    <row r="166" spans="1:11" ht="12.75">
      <c r="A166" s="55"/>
      <c r="B166" s="55"/>
      <c r="C166" s="55"/>
      <c r="D166" s="55"/>
      <c r="E166" s="55"/>
      <c r="F166" s="55"/>
      <c r="G166" s="55"/>
      <c r="I166" s="55"/>
      <c r="J166" s="55"/>
      <c r="K166" s="55"/>
    </row>
    <row r="167" spans="1:11" ht="12.75">
      <c r="A167" s="55"/>
      <c r="B167" s="55"/>
      <c r="C167" s="55"/>
      <c r="D167" s="55"/>
      <c r="E167" s="55"/>
      <c r="F167" s="55"/>
      <c r="G167" s="55"/>
      <c r="I167" s="55"/>
      <c r="J167" s="55"/>
      <c r="K167" s="55"/>
    </row>
    <row r="168" spans="1:11" ht="12.75">
      <c r="A168" s="55"/>
      <c r="B168" s="55"/>
      <c r="C168" s="55"/>
      <c r="D168" s="55"/>
      <c r="E168" s="55"/>
      <c r="F168" s="55"/>
      <c r="G168" s="55"/>
      <c r="I168" s="55"/>
      <c r="J168" s="55"/>
      <c r="K168" s="55"/>
    </row>
    <row r="169" spans="1:11" ht="12.75">
      <c r="A169" s="55"/>
      <c r="B169" s="55"/>
      <c r="C169" s="55"/>
      <c r="D169" s="55"/>
      <c r="E169" s="55"/>
      <c r="F169" s="55"/>
      <c r="G169" s="55"/>
      <c r="I169" s="55"/>
      <c r="J169" s="55"/>
      <c r="K169" s="55"/>
    </row>
    <row r="170" spans="1:11" ht="12.75">
      <c r="A170" s="55"/>
      <c r="B170" s="55"/>
      <c r="C170" s="55"/>
      <c r="D170" s="55"/>
      <c r="E170" s="55"/>
      <c r="F170" s="55"/>
      <c r="G170" s="55"/>
      <c r="I170" s="55"/>
      <c r="J170" s="55"/>
      <c r="K170" s="55"/>
    </row>
    <row r="171" spans="1:11" ht="12.75">
      <c r="A171" s="55"/>
      <c r="B171" s="55"/>
      <c r="C171" s="55"/>
      <c r="D171" s="55"/>
      <c r="E171" s="55"/>
      <c r="F171" s="55"/>
      <c r="G171" s="55"/>
      <c r="I171" s="55"/>
      <c r="J171" s="55"/>
      <c r="K171" s="55"/>
    </row>
    <row r="172" spans="1:11" ht="12.75">
      <c r="A172" s="55"/>
      <c r="B172" s="55"/>
      <c r="C172" s="55"/>
      <c r="D172" s="55"/>
      <c r="E172" s="55"/>
      <c r="F172" s="55"/>
      <c r="G172" s="55"/>
      <c r="I172" s="55"/>
      <c r="J172" s="55"/>
      <c r="K172" s="55"/>
    </row>
    <row r="173" spans="1:11" ht="12.75">
      <c r="A173" s="55"/>
      <c r="B173" s="55"/>
      <c r="C173" s="55"/>
      <c r="D173" s="55"/>
      <c r="E173" s="55"/>
      <c r="F173" s="55"/>
      <c r="G173" s="55"/>
      <c r="I173" s="55"/>
      <c r="J173" s="55"/>
      <c r="K173" s="55"/>
    </row>
    <row r="174" spans="1:11" ht="12.75">
      <c r="A174" s="55"/>
      <c r="B174" s="55"/>
      <c r="C174" s="55"/>
      <c r="D174" s="55"/>
      <c r="E174" s="55"/>
      <c r="F174" s="55"/>
      <c r="G174" s="55"/>
      <c r="I174" s="55"/>
      <c r="J174" s="55"/>
      <c r="K174" s="55"/>
    </row>
    <row r="175" spans="1:11" ht="12.75">
      <c r="A175" s="55"/>
      <c r="B175" s="55"/>
      <c r="C175" s="55"/>
      <c r="D175" s="55"/>
      <c r="E175" s="55"/>
      <c r="F175" s="55"/>
      <c r="G175" s="55"/>
      <c r="I175" s="55"/>
      <c r="J175" s="55"/>
      <c r="K175" s="55"/>
    </row>
    <row r="176" spans="1:11" ht="12.75">
      <c r="A176" s="55"/>
      <c r="B176" s="55"/>
      <c r="C176" s="55"/>
      <c r="D176" s="55"/>
      <c r="E176" s="55"/>
      <c r="F176" s="55"/>
      <c r="G176" s="55"/>
      <c r="I176" s="55"/>
      <c r="J176" s="55"/>
      <c r="K176" s="55"/>
    </row>
    <row r="177" spans="1:11" ht="12.75">
      <c r="A177" s="55"/>
      <c r="B177" s="55"/>
      <c r="C177" s="55"/>
      <c r="D177" s="55"/>
      <c r="E177" s="55"/>
      <c r="F177" s="55"/>
      <c r="G177" s="55"/>
      <c r="I177" s="55"/>
      <c r="J177" s="55"/>
      <c r="K177" s="55"/>
    </row>
    <row r="178" spans="1:11" ht="12.75">
      <c r="A178" s="55"/>
      <c r="B178" s="55"/>
      <c r="C178" s="55"/>
      <c r="D178" s="55"/>
      <c r="E178" s="55"/>
      <c r="F178" s="55"/>
      <c r="G178" s="55"/>
      <c r="I178" s="55"/>
      <c r="J178" s="55"/>
      <c r="K178" s="55"/>
    </row>
    <row r="179" spans="1:11" ht="12.75">
      <c r="A179" s="55"/>
      <c r="B179" s="55"/>
      <c r="C179" s="55"/>
      <c r="D179" s="55"/>
      <c r="E179" s="55"/>
      <c r="F179" s="55"/>
      <c r="G179" s="55"/>
      <c r="I179" s="55"/>
      <c r="J179" s="55"/>
      <c r="K179" s="55"/>
    </row>
    <row r="180" spans="1:11" ht="12.75">
      <c r="A180" s="55"/>
      <c r="B180" s="55"/>
      <c r="C180" s="55"/>
      <c r="D180" s="55"/>
      <c r="E180" s="55"/>
      <c r="F180" s="55"/>
      <c r="G180" s="55"/>
      <c r="I180" s="55"/>
      <c r="J180" s="55"/>
      <c r="K180" s="55"/>
    </row>
    <row r="181" spans="1:11" ht="12.75">
      <c r="A181" s="55"/>
      <c r="B181" s="55"/>
      <c r="C181" s="55"/>
      <c r="D181" s="55"/>
      <c r="E181" s="55"/>
      <c r="F181" s="55"/>
      <c r="G181" s="55"/>
      <c r="I181" s="55"/>
      <c r="J181" s="55"/>
      <c r="K181" s="55"/>
    </row>
    <row r="182" spans="1:11" ht="12.75">
      <c r="A182" s="55"/>
      <c r="B182" s="55"/>
      <c r="C182" s="55"/>
      <c r="D182" s="55"/>
      <c r="E182" s="55"/>
      <c r="F182" s="55"/>
      <c r="G182" s="55"/>
      <c r="I182" s="55"/>
      <c r="J182" s="55"/>
      <c r="K182" s="55"/>
    </row>
    <row r="183" spans="1:11" ht="12.75">
      <c r="A183" s="55"/>
      <c r="B183" s="55"/>
      <c r="C183" s="55"/>
      <c r="D183" s="55"/>
      <c r="E183" s="55"/>
      <c r="F183" s="55"/>
      <c r="G183" s="55"/>
      <c r="I183" s="55"/>
      <c r="J183" s="55"/>
      <c r="K183" s="55"/>
    </row>
    <row r="184" spans="1:11" ht="12.75">
      <c r="A184" s="55"/>
      <c r="B184" s="55"/>
      <c r="C184" s="55"/>
      <c r="D184" s="55"/>
      <c r="E184" s="55"/>
      <c r="F184" s="55"/>
      <c r="G184" s="55"/>
      <c r="I184" s="55"/>
      <c r="J184" s="55"/>
      <c r="K184" s="55"/>
    </row>
    <row r="185" spans="1:11" ht="12.75">
      <c r="A185" s="55"/>
      <c r="B185" s="55"/>
      <c r="C185" s="55"/>
      <c r="D185" s="55"/>
      <c r="E185" s="55"/>
      <c r="F185" s="55"/>
      <c r="G185" s="55"/>
      <c r="I185" s="55"/>
      <c r="J185" s="55"/>
      <c r="K185" s="55"/>
    </row>
    <row r="186" spans="1:11" ht="12.75">
      <c r="A186" s="55"/>
      <c r="B186" s="55"/>
      <c r="C186" s="55"/>
      <c r="D186" s="55"/>
      <c r="E186" s="55"/>
      <c r="F186" s="55"/>
      <c r="G186" s="55"/>
      <c r="I186" s="55"/>
      <c r="J186" s="55"/>
      <c r="K186" s="55"/>
    </row>
    <row r="187" spans="1:11" ht="12.75">
      <c r="A187" s="55"/>
      <c r="B187" s="55"/>
      <c r="C187" s="55"/>
      <c r="D187" s="55"/>
      <c r="E187" s="55"/>
      <c r="F187" s="55"/>
      <c r="G187" s="55"/>
      <c r="I187" s="55"/>
      <c r="J187" s="55"/>
      <c r="K187" s="55"/>
    </row>
    <row r="188" spans="1:11" ht="12.75">
      <c r="A188" s="55"/>
      <c r="B188" s="55"/>
      <c r="C188" s="55"/>
      <c r="D188" s="55"/>
      <c r="E188" s="55"/>
      <c r="F188" s="55"/>
      <c r="G188" s="55"/>
      <c r="I188" s="55"/>
      <c r="J188" s="55"/>
      <c r="K188" s="55"/>
    </row>
    <row r="189" spans="1:11" ht="12.75">
      <c r="A189" s="55"/>
      <c r="B189" s="55"/>
      <c r="C189" s="55"/>
      <c r="D189" s="55"/>
      <c r="E189" s="55"/>
      <c r="F189" s="55"/>
      <c r="G189" s="55"/>
      <c r="I189" s="55"/>
      <c r="J189" s="55"/>
      <c r="K189" s="55"/>
    </row>
    <row r="190" spans="1:11" ht="12.75">
      <c r="A190" s="55"/>
      <c r="B190" s="55"/>
      <c r="C190" s="55"/>
      <c r="D190" s="55"/>
      <c r="E190" s="55"/>
      <c r="F190" s="55"/>
      <c r="G190" s="55"/>
      <c r="I190" s="55"/>
      <c r="J190" s="55"/>
      <c r="K190" s="55"/>
    </row>
    <row r="191" spans="1:11" ht="12.75">
      <c r="A191" s="55"/>
      <c r="B191" s="55"/>
      <c r="C191" s="55"/>
      <c r="D191" s="55"/>
      <c r="E191" s="55"/>
      <c r="F191" s="55"/>
      <c r="G191" s="55"/>
      <c r="I191" s="55"/>
      <c r="J191" s="55"/>
      <c r="K191" s="55"/>
    </row>
    <row r="192" spans="1:11" ht="12.75">
      <c r="A192" s="55"/>
      <c r="B192" s="55"/>
      <c r="C192" s="55"/>
      <c r="D192" s="55"/>
      <c r="E192" s="55"/>
      <c r="F192" s="55"/>
      <c r="G192" s="55"/>
      <c r="I192" s="55"/>
      <c r="J192" s="55"/>
      <c r="K192" s="55"/>
    </row>
    <row r="193" spans="1:11" ht="12.75">
      <c r="A193" s="55"/>
      <c r="B193" s="55"/>
      <c r="C193" s="55"/>
      <c r="D193" s="55"/>
      <c r="E193" s="55"/>
      <c r="F193" s="55"/>
      <c r="G193" s="55"/>
      <c r="I193" s="55"/>
      <c r="J193" s="55"/>
      <c r="K193" s="55"/>
    </row>
    <row r="194" spans="1:11" ht="12.75">
      <c r="A194" s="55"/>
      <c r="B194" s="55"/>
      <c r="C194" s="55"/>
      <c r="D194" s="55"/>
      <c r="E194" s="55"/>
      <c r="F194" s="55"/>
      <c r="G194" s="55"/>
      <c r="I194" s="55"/>
      <c r="J194" s="55"/>
      <c r="K194" s="55"/>
    </row>
    <row r="195" spans="1:11" ht="12.75">
      <c r="A195" s="55"/>
      <c r="B195" s="55"/>
      <c r="C195" s="55"/>
      <c r="D195" s="55"/>
      <c r="E195" s="55"/>
      <c r="F195" s="55"/>
      <c r="G195" s="55"/>
      <c r="I195" s="55"/>
      <c r="J195" s="55"/>
      <c r="K195" s="55"/>
    </row>
    <row r="196" spans="1:11" ht="12.75">
      <c r="A196" s="55"/>
      <c r="B196" s="55"/>
      <c r="C196" s="55"/>
      <c r="D196" s="55"/>
      <c r="E196" s="55"/>
      <c r="F196" s="55"/>
      <c r="G196" s="55"/>
      <c r="I196" s="55"/>
      <c r="J196" s="55"/>
      <c r="K196" s="55"/>
    </row>
    <row r="197" spans="1:11" ht="12.75">
      <c r="A197" s="55"/>
      <c r="B197" s="55"/>
      <c r="C197" s="55"/>
      <c r="D197" s="55"/>
      <c r="E197" s="55"/>
      <c r="F197" s="55"/>
      <c r="G197" s="55"/>
      <c r="I197" s="55"/>
      <c r="J197" s="55"/>
      <c r="K197" s="55"/>
    </row>
    <row r="198" spans="1:11" ht="12.75">
      <c r="A198" s="55"/>
      <c r="B198" s="55"/>
      <c r="C198" s="55"/>
      <c r="D198" s="55"/>
      <c r="E198" s="55"/>
      <c r="F198" s="55"/>
      <c r="G198" s="55"/>
      <c r="I198" s="55"/>
      <c r="J198" s="55"/>
      <c r="K198" s="55"/>
    </row>
    <row r="199" spans="1:11" ht="12.75">
      <c r="A199" s="55"/>
      <c r="B199" s="55"/>
      <c r="C199" s="55"/>
      <c r="D199" s="55"/>
      <c r="E199" s="55"/>
      <c r="F199" s="55"/>
      <c r="G199" s="55"/>
      <c r="I199" s="55"/>
      <c r="J199" s="55"/>
      <c r="K199" s="55"/>
    </row>
    <row r="200" spans="1:11" ht="12.75">
      <c r="A200" s="55"/>
      <c r="B200" s="55"/>
      <c r="C200" s="55"/>
      <c r="D200" s="55"/>
      <c r="E200" s="55"/>
      <c r="F200" s="55"/>
      <c r="G200" s="55"/>
      <c r="I200" s="55"/>
      <c r="J200" s="55"/>
      <c r="K200" s="55"/>
    </row>
    <row r="201" spans="1:11" ht="12.75">
      <c r="A201" s="55"/>
      <c r="B201" s="55"/>
      <c r="C201" s="55"/>
      <c r="D201" s="55"/>
      <c r="E201" s="55"/>
      <c r="F201" s="55"/>
      <c r="G201" s="55"/>
      <c r="I201" s="55"/>
      <c r="J201" s="55"/>
      <c r="K201" s="55"/>
    </row>
    <row r="202" spans="1:11" ht="12.75">
      <c r="A202" s="55"/>
      <c r="B202" s="55"/>
      <c r="C202" s="55"/>
      <c r="D202" s="55"/>
      <c r="E202" s="55"/>
      <c r="F202" s="55"/>
      <c r="G202" s="55"/>
      <c r="I202" s="55"/>
      <c r="J202" s="55"/>
      <c r="K202" s="55"/>
    </row>
    <row r="203" spans="1:11" ht="12.75">
      <c r="A203" s="55"/>
      <c r="B203" s="55"/>
      <c r="C203" s="55"/>
      <c r="D203" s="55"/>
      <c r="E203" s="55"/>
      <c r="F203" s="55"/>
      <c r="G203" s="55"/>
      <c r="I203" s="55"/>
      <c r="J203" s="55"/>
      <c r="K203" s="55"/>
    </row>
    <row r="204" spans="1:11" ht="12.75">
      <c r="A204" s="55"/>
      <c r="B204" s="55"/>
      <c r="C204" s="55"/>
      <c r="D204" s="55"/>
      <c r="E204" s="55"/>
      <c r="F204" s="55"/>
      <c r="G204" s="55"/>
      <c r="I204" s="55"/>
      <c r="J204" s="55"/>
      <c r="K204" s="55"/>
    </row>
    <row r="205" spans="9:11" ht="12.75">
      <c r="I205" s="55"/>
      <c r="J205" s="55"/>
      <c r="K205" s="55"/>
    </row>
    <row r="206" spans="9:11" ht="12.75">
      <c r="I206" s="55"/>
      <c r="J206" s="55"/>
      <c r="K206" s="55"/>
    </row>
    <row r="207" spans="9:11" ht="12.75">
      <c r="I207" s="55"/>
      <c r="J207" s="55"/>
      <c r="K207" s="55"/>
    </row>
    <row r="208" spans="9:11" ht="12.75">
      <c r="I208" s="55"/>
      <c r="J208" s="55"/>
      <c r="K208" s="55"/>
    </row>
    <row r="209" spans="9:11" ht="12.75">
      <c r="I209" s="55"/>
      <c r="J209" s="55"/>
      <c r="K209" s="55"/>
    </row>
    <row r="210" spans="9:11" ht="12.75">
      <c r="I210" s="55"/>
      <c r="J210" s="55"/>
      <c r="K210" s="55"/>
    </row>
    <row r="211" spans="9:11" ht="12.75">
      <c r="I211" s="55"/>
      <c r="J211" s="55"/>
      <c r="K211" s="55"/>
    </row>
    <row r="212" spans="9:11" ht="12.75">
      <c r="I212" s="55"/>
      <c r="J212" s="55"/>
      <c r="K212" s="55"/>
    </row>
    <row r="213" spans="9:11" ht="12.75">
      <c r="I213" s="55"/>
      <c r="J213" s="55"/>
      <c r="K213" s="55"/>
    </row>
    <row r="214" spans="9:11" ht="12.75">
      <c r="I214" s="55"/>
      <c r="J214" s="55"/>
      <c r="K214" s="55"/>
    </row>
    <row r="215" spans="9:11" ht="12.75">
      <c r="I215" s="55"/>
      <c r="J215" s="55"/>
      <c r="K215" s="55"/>
    </row>
    <row r="216" spans="9:11" ht="12.75">
      <c r="I216" s="55"/>
      <c r="J216" s="55"/>
      <c r="K216" s="55"/>
    </row>
    <row r="217" spans="9:11" ht="12.75">
      <c r="I217" s="55"/>
      <c r="J217" s="55"/>
      <c r="K217" s="55"/>
    </row>
    <row r="218" spans="9:11" ht="12.75">
      <c r="I218" s="55"/>
      <c r="J218" s="55"/>
      <c r="K218" s="55"/>
    </row>
    <row r="219" spans="9:11" ht="12.75">
      <c r="I219" s="55"/>
      <c r="J219" s="55"/>
      <c r="K219" s="55"/>
    </row>
  </sheetData>
  <sheetProtection/>
  <printOptions/>
  <pageMargins left="0.75" right="0.75" top="1" bottom="1" header="0.5" footer="0.5"/>
  <pageSetup fitToHeight="3" fitToWidth="1" horizontalDpi="300" verticalDpi="300" orientation="portrait" scale="69" r:id="rId4"/>
  <drawing r:id="rId3"/>
  <legacyDrawing r:id="rId2"/>
</worksheet>
</file>

<file path=xl/worksheets/sheet3.xml><?xml version="1.0" encoding="utf-8"?>
<worksheet xmlns="http://schemas.openxmlformats.org/spreadsheetml/2006/main" xmlns:r="http://schemas.openxmlformats.org/officeDocument/2006/relationships">
  <dimension ref="A1:AW203"/>
  <sheetViews>
    <sheetView zoomScalePageLayoutView="0" workbookViewId="0" topLeftCell="A21">
      <selection activeCell="A21" sqref="A1:IV16384"/>
    </sheetView>
  </sheetViews>
  <sheetFormatPr defaultColWidth="10.28125" defaultRowHeight="12.75"/>
  <cols>
    <col min="1" max="1" width="3.140625" style="686" customWidth="1"/>
    <col min="2" max="2" width="13.28125" style="10" customWidth="1"/>
    <col min="3" max="3" width="9.8515625" style="10" customWidth="1"/>
    <col min="4" max="4" width="10.7109375" style="10" customWidth="1"/>
    <col min="5" max="5" width="11.57421875" style="10" customWidth="1"/>
    <col min="6" max="6" width="10.421875" style="10" customWidth="1"/>
    <col min="7" max="7" width="9.57421875" style="10" customWidth="1"/>
    <col min="8" max="8" width="11.140625" style="10" customWidth="1"/>
    <col min="9" max="9" width="10.8515625" style="10" customWidth="1"/>
    <col min="10" max="10" width="8.00390625" style="10" customWidth="1"/>
    <col min="11" max="11" width="11.00390625" style="10" customWidth="1"/>
    <col min="12" max="12" width="10.28125" style="10" customWidth="1"/>
    <col min="13" max="15" width="10.7109375" style="10" customWidth="1"/>
    <col min="16" max="21" width="10.28125" style="10" customWidth="1"/>
    <col min="22" max="22" width="8.421875" style="10" customWidth="1"/>
    <col min="23" max="24" width="10.28125" style="10" customWidth="1"/>
    <col min="25" max="25" width="12.7109375" style="10" customWidth="1"/>
    <col min="26" max="26" width="4.7109375" style="10" customWidth="1"/>
    <col min="27" max="27" width="11.7109375" style="10" customWidth="1"/>
    <col min="28" max="30" width="10.28125" style="10" customWidth="1"/>
    <col min="31" max="41" width="10.28125" style="5" customWidth="1"/>
    <col min="42" max="16384" width="10.28125" style="10" customWidth="1"/>
  </cols>
  <sheetData>
    <row r="1" spans="1:41" ht="14.25" thickBot="1" thickTop="1">
      <c r="A1" s="686">
        <v>1</v>
      </c>
      <c r="B1" s="683" t="s">
        <v>259</v>
      </c>
      <c r="C1" s="684"/>
      <c r="D1" s="684"/>
      <c r="E1" s="684"/>
      <c r="F1" s="684"/>
      <c r="G1" s="684"/>
      <c r="H1" s="684"/>
      <c r="I1" s="685"/>
      <c r="J1" s="1" t="s">
        <v>14</v>
      </c>
      <c r="K1" s="30"/>
      <c r="L1" s="31"/>
      <c r="M1" s="32" t="s">
        <v>95</v>
      </c>
      <c r="N1" s="690">
        <f>ROUND(C11,0)</f>
        <v>34</v>
      </c>
      <c r="O1" s="32" t="s">
        <v>96</v>
      </c>
      <c r="P1" s="520">
        <v>3</v>
      </c>
      <c r="R1" s="2" t="s">
        <v>15</v>
      </c>
      <c r="S1" s="3"/>
      <c r="T1" s="3" t="s">
        <v>16</v>
      </c>
      <c r="U1" s="691">
        <f>D9</f>
        <v>0.06</v>
      </c>
      <c r="V1" s="3"/>
      <c r="W1" s="3" t="s">
        <v>17</v>
      </c>
      <c r="X1" s="691">
        <v>0.0025</v>
      </c>
      <c r="Y1" s="3"/>
      <c r="Z1" s="3"/>
      <c r="AA1" s="3"/>
      <c r="AB1" s="3"/>
      <c r="AC1" s="3"/>
      <c r="AD1" s="3"/>
      <c r="AE1" s="34"/>
      <c r="AF1" s="34" t="s">
        <v>3</v>
      </c>
      <c r="AG1" s="34"/>
      <c r="AH1" s="34"/>
      <c r="AI1" s="34"/>
      <c r="AJ1" s="34" t="s">
        <v>18</v>
      </c>
      <c r="AK1" s="34"/>
      <c r="AL1" s="34"/>
      <c r="AM1" s="34"/>
      <c r="AN1" s="34" t="s">
        <v>19</v>
      </c>
      <c r="AO1" s="34" t="s">
        <v>20</v>
      </c>
    </row>
    <row r="2" spans="2:47" ht="13.5" thickTop="1">
      <c r="B2" s="182"/>
      <c r="C2" s="183" t="s">
        <v>0</v>
      </c>
      <c r="D2" s="66"/>
      <c r="E2" s="183" t="s">
        <v>1</v>
      </c>
      <c r="F2" s="66"/>
      <c r="G2" s="66"/>
      <c r="H2" s="183" t="s">
        <v>2</v>
      </c>
      <c r="I2" s="67"/>
      <c r="J2" s="5" t="s">
        <v>3</v>
      </c>
      <c r="K2" s="33" t="s">
        <v>94</v>
      </c>
      <c r="M2" s="520">
        <v>0</v>
      </c>
      <c r="N2" s="5" t="s">
        <v>87</v>
      </c>
      <c r="O2" s="5"/>
      <c r="P2" s="5"/>
      <c r="R2" s="2" t="s">
        <v>21</v>
      </c>
      <c r="S2" s="6"/>
      <c r="T2" s="6" t="s">
        <v>22</v>
      </c>
      <c r="U2" s="6"/>
      <c r="V2" s="3" t="s">
        <v>3</v>
      </c>
      <c r="W2" s="4" t="s">
        <v>3</v>
      </c>
      <c r="X2" s="4" t="s">
        <v>23</v>
      </c>
      <c r="Y2" s="4"/>
      <c r="Z2" s="3"/>
      <c r="AA2" s="7"/>
      <c r="AB2" s="7" t="s">
        <v>24</v>
      </c>
      <c r="AC2" s="7"/>
      <c r="AD2" s="3"/>
      <c r="AE2" s="34"/>
      <c r="AF2" s="34" t="s">
        <v>25</v>
      </c>
      <c r="AG2" s="34" t="s">
        <v>26</v>
      </c>
      <c r="AH2" s="34" t="s">
        <v>98</v>
      </c>
      <c r="AI2" s="34" t="s">
        <v>20</v>
      </c>
      <c r="AJ2" s="34" t="s">
        <v>27</v>
      </c>
      <c r="AK2" s="34" t="s">
        <v>28</v>
      </c>
      <c r="AL2" s="34" t="s">
        <v>28</v>
      </c>
      <c r="AM2" s="34" t="s">
        <v>29</v>
      </c>
      <c r="AN2" s="34" t="s">
        <v>30</v>
      </c>
      <c r="AO2" s="34" t="s">
        <v>30</v>
      </c>
      <c r="AP2" s="21" t="s">
        <v>3</v>
      </c>
      <c r="AQ2" s="21" t="s">
        <v>3</v>
      </c>
      <c r="AR2" s="21" t="s">
        <v>3</v>
      </c>
      <c r="AS2" s="21" t="s">
        <v>3</v>
      </c>
      <c r="AT2" s="21" t="s">
        <v>3</v>
      </c>
      <c r="AU2" s="21" t="s">
        <v>3</v>
      </c>
    </row>
    <row r="3" spans="2:47" ht="12.75">
      <c r="B3" s="184" t="s">
        <v>226</v>
      </c>
      <c r="C3" s="221">
        <v>0.3</v>
      </c>
      <c r="D3" s="68" t="s">
        <v>3</v>
      </c>
      <c r="E3" s="156">
        <v>6</v>
      </c>
      <c r="F3" s="68" t="s">
        <v>4</v>
      </c>
      <c r="G3" s="68"/>
      <c r="H3" s="220">
        <v>0</v>
      </c>
      <c r="I3" s="706" t="s">
        <v>258</v>
      </c>
      <c r="J3" s="5" t="s">
        <v>31</v>
      </c>
      <c r="K3" s="35" t="s">
        <v>9</v>
      </c>
      <c r="L3" s="5" t="s">
        <v>32</v>
      </c>
      <c r="M3" s="36" t="s">
        <v>33</v>
      </c>
      <c r="N3" s="5" t="s">
        <v>28</v>
      </c>
      <c r="O3" s="5"/>
      <c r="P3" s="5" t="s">
        <v>34</v>
      </c>
      <c r="R3" s="3" t="s">
        <v>35</v>
      </c>
      <c r="S3" s="6" t="s">
        <v>36</v>
      </c>
      <c r="T3" s="6" t="s">
        <v>37</v>
      </c>
      <c r="U3" s="6" t="s">
        <v>38</v>
      </c>
      <c r="V3" s="3"/>
      <c r="W3" s="4" t="s">
        <v>36</v>
      </c>
      <c r="X3" s="4" t="s">
        <v>37</v>
      </c>
      <c r="Y3" s="4" t="s">
        <v>38</v>
      </c>
      <c r="Z3" s="3"/>
      <c r="AA3" s="7" t="s">
        <v>36</v>
      </c>
      <c r="AB3" s="7" t="s">
        <v>37</v>
      </c>
      <c r="AC3" s="7" t="s">
        <v>38</v>
      </c>
      <c r="AD3" s="3"/>
      <c r="AE3" s="34" t="s">
        <v>39</v>
      </c>
      <c r="AF3" s="34"/>
      <c r="AG3" s="34" t="s">
        <v>40</v>
      </c>
      <c r="AH3" s="34" t="s">
        <v>40</v>
      </c>
      <c r="AI3" s="34" t="s">
        <v>40</v>
      </c>
      <c r="AJ3" s="34" t="s">
        <v>41</v>
      </c>
      <c r="AK3" s="34" t="s">
        <v>42</v>
      </c>
      <c r="AL3" s="34" t="s">
        <v>43</v>
      </c>
      <c r="AM3" s="34" t="s">
        <v>28</v>
      </c>
      <c r="AN3" s="34" t="s">
        <v>44</v>
      </c>
      <c r="AO3" s="34" t="s">
        <v>44</v>
      </c>
      <c r="AP3" s="22"/>
      <c r="AQ3" s="692" t="s">
        <v>45</v>
      </c>
      <c r="AR3" s="692" t="s">
        <v>46</v>
      </c>
      <c r="AS3" s="692"/>
      <c r="AT3" s="692"/>
      <c r="AU3" s="22"/>
    </row>
    <row r="4" spans="2:47" ht="12.75">
      <c r="B4" s="185"/>
      <c r="C4" s="68"/>
      <c r="D4" s="68"/>
      <c r="E4" s="68" t="s">
        <v>3</v>
      </c>
      <c r="F4" s="68"/>
      <c r="G4" s="68"/>
      <c r="H4" s="220">
        <v>0</v>
      </c>
      <c r="I4" s="706" t="s">
        <v>199</v>
      </c>
      <c r="J4" s="26">
        <f>C24</f>
        <v>26.618935185185183</v>
      </c>
      <c r="K4" s="57">
        <f>(C3/(SQRT(J4)))</f>
        <v>0.0581468128792342</v>
      </c>
      <c r="L4" s="26">
        <f>C25</f>
        <v>159.7136111111111</v>
      </c>
      <c r="M4" s="57">
        <f>(SQRT((D9*D9)-(K4*K4)))</f>
        <v>0.014796896701245293</v>
      </c>
      <c r="N4" s="26">
        <f>(J4*E$3)+(L4*E$5)+H$6</f>
        <v>479.1408333333333</v>
      </c>
      <c r="O4" s="26">
        <f aca="true" t="shared" si="0" ref="O4:O14">MAX(0,+O5-P5)</f>
        <v>1</v>
      </c>
      <c r="P4" s="26">
        <f>P1</f>
        <v>3</v>
      </c>
      <c r="Q4" s="10" t="s">
        <v>97</v>
      </c>
      <c r="R4" s="52">
        <f aca="true" t="shared" si="1" ref="R4:R14">R5-AE5</f>
        <v>0.03249999999999997</v>
      </c>
      <c r="S4" s="3">
        <f aca="true" t="shared" si="2" ref="S4:S27">(T4*AL4)+(U4*AK4)+AM4</f>
        <v>945.4297763014986</v>
      </c>
      <c r="T4" s="3">
        <f aca="true" t="shared" si="3" ref="T4:T27">(AJ4/(AF4*AG4))</f>
        <v>125.10016596886555</v>
      </c>
      <c r="U4" s="3">
        <f aca="true" t="shared" si="4" ref="U4:U27">(AG4*T4)</f>
        <v>115.8715740606279</v>
      </c>
      <c r="V4" s="3"/>
      <c r="W4" s="3" t="e">
        <f aca="true" t="shared" si="5" ref="W4:W27">(X4*AL4)+(Y4*AK4)+AM4</f>
        <v>#DIV/0!</v>
      </c>
      <c r="X4" s="3" t="e">
        <f aca="true" t="shared" si="6" ref="X4:X27">(AN4/(AF4*AH4))</f>
        <v>#DIV/0!</v>
      </c>
      <c r="Y4" s="3" t="e">
        <f aca="true" t="shared" si="7" ref="Y4:Y27">(X4*AH4)</f>
        <v>#DIV/0!</v>
      </c>
      <c r="Z4" s="3"/>
      <c r="AA4" s="3">
        <f aca="true" t="shared" si="8" ref="AA4:AA27">(AB4*AL4)+(AC4*AK4)+AM4</f>
        <v>1633.0480473372809</v>
      </c>
      <c r="AB4" s="3">
        <f aca="true" t="shared" si="9" ref="AB4:AB27">(AO4/(AF4*AI4))</f>
        <v>544.3493491124269</v>
      </c>
      <c r="AC4" s="3">
        <f aca="true" t="shared" si="10" ref="AC4:AC27">(AB4*AI4)</f>
        <v>90.72489151873782</v>
      </c>
      <c r="AD4" s="3"/>
      <c r="AE4" s="34">
        <f>X1</f>
        <v>0.0025</v>
      </c>
      <c r="AF4" s="34">
        <f aca="true" t="shared" si="11" ref="AF4:AF27">(R4*R4)</f>
        <v>0.0010562499999999982</v>
      </c>
      <c r="AG4" s="34">
        <f>E7</f>
        <v>0.9262303783790788</v>
      </c>
      <c r="AH4" s="34" t="e">
        <f>(C15/C16)</f>
        <v>#DIV/0!</v>
      </c>
      <c r="AI4" s="34">
        <f>(1/I23)</f>
        <v>0.16666666666666666</v>
      </c>
      <c r="AJ4" s="34">
        <f>((C3*C3)+(C5*C5*E7))</f>
        <v>0.12238935010153801</v>
      </c>
      <c r="AK4" s="34">
        <f>E3</f>
        <v>6</v>
      </c>
      <c r="AL4" s="34">
        <f>E5</f>
        <v>2</v>
      </c>
      <c r="AM4" s="34">
        <f>H3+H4+H5</f>
        <v>0</v>
      </c>
      <c r="AN4" s="34" t="e">
        <f>((C3*C3)+(C5*C5*AH4))</f>
        <v>#DIV/0!</v>
      </c>
      <c r="AO4" s="34">
        <f>((C3*C3)+(C5*C5*AI4))</f>
        <v>0.09582816666666666</v>
      </c>
      <c r="AP4" s="43" t="s">
        <v>3</v>
      </c>
      <c r="AQ4" s="43" t="s">
        <v>47</v>
      </c>
      <c r="AR4" s="43" t="s">
        <v>48</v>
      </c>
      <c r="AS4" s="43" t="s">
        <v>49</v>
      </c>
      <c r="AT4" s="43" t="s">
        <v>50</v>
      </c>
      <c r="AU4" s="43" t="s">
        <v>51</v>
      </c>
    </row>
    <row r="5" spans="2:47" ht="13.5" thickBot="1">
      <c r="B5" s="186" t="s">
        <v>225</v>
      </c>
      <c r="C5" s="221">
        <v>0.187</v>
      </c>
      <c r="D5" s="68" t="s">
        <v>3</v>
      </c>
      <c r="E5" s="156">
        <v>2</v>
      </c>
      <c r="F5" s="68" t="s">
        <v>5</v>
      </c>
      <c r="G5" s="68"/>
      <c r="H5" s="727">
        <v>0</v>
      </c>
      <c r="I5" s="706" t="s">
        <v>200</v>
      </c>
      <c r="J5" s="26">
        <f>C15</f>
        <v>0</v>
      </c>
      <c r="K5" s="57" t="e">
        <f>(C3/(SQRT(J5)))</f>
        <v>#DIV/0!</v>
      </c>
      <c r="L5" s="26">
        <f>C16</f>
        <v>0</v>
      </c>
      <c r="M5" s="57" t="e">
        <f>(SQRT((D9*D9)-(K5*K5)))</f>
        <v>#DIV/0!</v>
      </c>
      <c r="N5" s="26">
        <f>(J5*E$3)+(L5*E$5)+H$6</f>
        <v>0</v>
      </c>
      <c r="O5" s="26">
        <f t="shared" si="0"/>
        <v>4</v>
      </c>
      <c r="P5" s="26">
        <f aca="true" t="shared" si="12" ref="P5:P24">P4</f>
        <v>3</v>
      </c>
      <c r="Q5" s="10" t="s">
        <v>98</v>
      </c>
      <c r="R5" s="52">
        <f t="shared" si="1"/>
        <v>0.034999999999999976</v>
      </c>
      <c r="S5" s="3">
        <f t="shared" si="2"/>
        <v>815.1920009946591</v>
      </c>
      <c r="T5" s="3">
        <f t="shared" si="3"/>
        <v>107.86697984050137</v>
      </c>
      <c r="U5" s="3">
        <f t="shared" si="4"/>
        <v>99.90967355227606</v>
      </c>
      <c r="V5" s="3"/>
      <c r="W5" s="3" t="e">
        <f t="shared" si="5"/>
        <v>#DIV/0!</v>
      </c>
      <c r="X5" s="3" t="e">
        <f t="shared" si="6"/>
        <v>#DIV/0!</v>
      </c>
      <c r="Y5" s="3" t="e">
        <f t="shared" si="7"/>
        <v>#DIV/0!</v>
      </c>
      <c r="Z5" s="3"/>
      <c r="AA5" s="3">
        <f t="shared" si="8"/>
        <v>1408.0873469387775</v>
      </c>
      <c r="AB5" s="3">
        <f t="shared" si="9"/>
        <v>469.3624489795925</v>
      </c>
      <c r="AC5" s="3">
        <f t="shared" si="10"/>
        <v>78.22707482993208</v>
      </c>
      <c r="AD5" s="3"/>
      <c r="AE5" s="34">
        <f aca="true" t="shared" si="13" ref="AE5:AE27">AE4</f>
        <v>0.0025</v>
      </c>
      <c r="AF5" s="34">
        <f t="shared" si="11"/>
        <v>0.0012249999999999982</v>
      </c>
      <c r="AG5" s="34">
        <f aca="true" t="shared" si="14" ref="AG5:AO20">AG4</f>
        <v>0.9262303783790788</v>
      </c>
      <c r="AH5" s="34" t="e">
        <f t="shared" si="14"/>
        <v>#DIV/0!</v>
      </c>
      <c r="AI5" s="34">
        <f t="shared" si="14"/>
        <v>0.16666666666666666</v>
      </c>
      <c r="AJ5" s="34">
        <f t="shared" si="14"/>
        <v>0.12238935010153801</v>
      </c>
      <c r="AK5" s="34">
        <f t="shared" si="14"/>
        <v>6</v>
      </c>
      <c r="AL5" s="34">
        <f t="shared" si="14"/>
        <v>2</v>
      </c>
      <c r="AM5" s="34">
        <f t="shared" si="14"/>
        <v>0</v>
      </c>
      <c r="AN5" s="34" t="e">
        <f t="shared" si="14"/>
        <v>#DIV/0!</v>
      </c>
      <c r="AO5" s="34">
        <f t="shared" si="14"/>
        <v>0.09582816666666666</v>
      </c>
      <c r="AP5" s="47" t="s">
        <v>129</v>
      </c>
      <c r="AQ5" s="44">
        <v>0.0627</v>
      </c>
      <c r="AR5" s="44">
        <v>0.1257</v>
      </c>
      <c r="AS5" s="44">
        <v>0.6745</v>
      </c>
      <c r="AT5" s="44">
        <v>1.6449</v>
      </c>
      <c r="AU5" s="45">
        <v>1.96</v>
      </c>
    </row>
    <row r="6" spans="2:47" ht="13.5" thickTop="1">
      <c r="B6" s="185" t="s">
        <v>3</v>
      </c>
      <c r="C6" s="68" t="s">
        <v>3</v>
      </c>
      <c r="D6" s="68" t="s">
        <v>3</v>
      </c>
      <c r="E6" s="68" t="s">
        <v>3</v>
      </c>
      <c r="F6" s="187" t="s">
        <v>3</v>
      </c>
      <c r="G6" s="68" t="s">
        <v>3</v>
      </c>
      <c r="H6" s="188">
        <f>SUM(H3:H5)</f>
        <v>0</v>
      </c>
      <c r="I6" s="189" t="s">
        <v>93</v>
      </c>
      <c r="J6" s="8">
        <f aca="true" t="shared" si="15" ref="J6:J24">O6</f>
        <v>7</v>
      </c>
      <c r="K6" s="58">
        <f aca="true" t="shared" si="16" ref="K6:K24">IF(J6&gt;0,(C$3/(SQRT(J6))),"")</f>
        <v>0.11338934190276816</v>
      </c>
      <c r="L6" s="8">
        <f aca="true" t="shared" si="17" ref="L6:L24">IF(K6&lt;D$9,(C$5/M6)*(C$5/M6),"")</f>
      </c>
      <c r="M6" s="59">
        <f aca="true" t="shared" si="18" ref="M6:M24">IF(K6&lt;D$9,(SQRT((D$9*D$9)-(K6*K6))),"")</f>
      </c>
      <c r="N6" s="24">
        <f aca="true" t="shared" si="19" ref="N6:N24">IF(K6&lt;D$9,(J6*E$3)+(L6*E$5)+H$6,"")</f>
      </c>
      <c r="O6" s="24">
        <f t="shared" si="0"/>
        <v>7</v>
      </c>
      <c r="P6" s="8">
        <f t="shared" si="12"/>
        <v>3</v>
      </c>
      <c r="R6" s="52">
        <f t="shared" si="1"/>
        <v>0.03749999999999998</v>
      </c>
      <c r="S6" s="3">
        <f t="shared" si="2"/>
        <v>710.1228097553474</v>
      </c>
      <c r="T6" s="3">
        <f t="shared" si="3"/>
        <v>93.96412466105895</v>
      </c>
      <c r="U6" s="3">
        <f t="shared" si="4"/>
        <v>87.03242673887156</v>
      </c>
      <c r="V6" s="3"/>
      <c r="W6" s="3" t="e">
        <f t="shared" si="5"/>
        <v>#DIV/0!</v>
      </c>
      <c r="X6" s="3" t="e">
        <f t="shared" si="6"/>
        <v>#DIV/0!</v>
      </c>
      <c r="Y6" s="3" t="e">
        <f t="shared" si="7"/>
        <v>#DIV/0!</v>
      </c>
      <c r="Z6" s="3"/>
      <c r="AA6" s="3">
        <f t="shared" si="8"/>
        <v>1226.6005333333346</v>
      </c>
      <c r="AB6" s="3">
        <f t="shared" si="9"/>
        <v>408.8668444444449</v>
      </c>
      <c r="AC6" s="3">
        <f t="shared" si="10"/>
        <v>68.14447407407414</v>
      </c>
      <c r="AD6" s="3"/>
      <c r="AE6" s="34">
        <f t="shared" si="13"/>
        <v>0.0025</v>
      </c>
      <c r="AF6" s="34">
        <f t="shared" si="11"/>
        <v>0.0014062499999999984</v>
      </c>
      <c r="AG6" s="34">
        <f t="shared" si="14"/>
        <v>0.9262303783790788</v>
      </c>
      <c r="AH6" s="34" t="e">
        <f t="shared" si="14"/>
        <v>#DIV/0!</v>
      </c>
      <c r="AI6" s="34">
        <f t="shared" si="14"/>
        <v>0.16666666666666666</v>
      </c>
      <c r="AJ6" s="34">
        <f t="shared" si="14"/>
        <v>0.12238935010153801</v>
      </c>
      <c r="AK6" s="34">
        <f t="shared" si="14"/>
        <v>6</v>
      </c>
      <c r="AL6" s="34">
        <f t="shared" si="14"/>
        <v>2</v>
      </c>
      <c r="AM6" s="34">
        <f t="shared" si="14"/>
        <v>0</v>
      </c>
      <c r="AN6" s="34" t="e">
        <f t="shared" si="14"/>
        <v>#DIV/0!</v>
      </c>
      <c r="AO6" s="34">
        <f t="shared" si="14"/>
        <v>0.09582816666666666</v>
      </c>
      <c r="AP6" s="46" t="s">
        <v>128</v>
      </c>
      <c r="AQ6" s="23">
        <v>0.0787</v>
      </c>
      <c r="AR6" s="23">
        <v>0.1584</v>
      </c>
      <c r="AS6" s="23">
        <v>1</v>
      </c>
      <c r="AT6" s="23">
        <v>6.3138</v>
      </c>
      <c r="AU6" s="23">
        <v>12.7062</v>
      </c>
    </row>
    <row r="7" spans="2:47" ht="12.75">
      <c r="B7" s="70"/>
      <c r="C7" s="68"/>
      <c r="D7" s="71" t="s">
        <v>106</v>
      </c>
      <c r="E7" s="42">
        <f>((C3*SQRT(E5))/(C5*SQRT(E3)))</f>
        <v>0.9262303783790788</v>
      </c>
      <c r="F7" s="68" t="s">
        <v>227</v>
      </c>
      <c r="G7" s="68"/>
      <c r="H7" s="68"/>
      <c r="I7" s="69" t="s">
        <v>3</v>
      </c>
      <c r="J7" s="8">
        <f t="shared" si="15"/>
        <v>10</v>
      </c>
      <c r="K7" s="58">
        <f t="shared" si="16"/>
        <v>0.09486832980505137</v>
      </c>
      <c r="L7" s="8">
        <f t="shared" si="17"/>
      </c>
      <c r="M7" s="59">
        <f t="shared" si="18"/>
      </c>
      <c r="N7" s="24">
        <f t="shared" si="19"/>
      </c>
      <c r="O7" s="8">
        <f t="shared" si="0"/>
        <v>10</v>
      </c>
      <c r="P7" s="8">
        <f t="shared" si="12"/>
        <v>3</v>
      </c>
      <c r="R7" s="52">
        <f t="shared" si="1"/>
        <v>0.03999999999999998</v>
      </c>
      <c r="S7" s="3">
        <f t="shared" si="2"/>
        <v>624.1313757615358</v>
      </c>
      <c r="T7" s="3">
        <f t="shared" si="3"/>
        <v>82.58565644038384</v>
      </c>
      <c r="U7" s="3">
        <f t="shared" si="4"/>
        <v>76.49334381346134</v>
      </c>
      <c r="V7" s="3"/>
      <c r="W7" s="3" t="e">
        <f t="shared" si="5"/>
        <v>#DIV/0!</v>
      </c>
      <c r="X7" s="3" t="e">
        <f t="shared" si="6"/>
        <v>#DIV/0!</v>
      </c>
      <c r="Y7" s="3" t="e">
        <f t="shared" si="7"/>
        <v>#DIV/0!</v>
      </c>
      <c r="Z7" s="3"/>
      <c r="AA7" s="3">
        <f t="shared" si="8"/>
        <v>1078.0668750000011</v>
      </c>
      <c r="AB7" s="3">
        <f t="shared" si="9"/>
        <v>359.3556250000004</v>
      </c>
      <c r="AC7" s="3">
        <f t="shared" si="10"/>
        <v>59.89260416666673</v>
      </c>
      <c r="AD7" s="3"/>
      <c r="AE7" s="34">
        <f t="shared" si="13"/>
        <v>0.0025</v>
      </c>
      <c r="AF7" s="34">
        <f t="shared" si="11"/>
        <v>0.0015999999999999983</v>
      </c>
      <c r="AG7" s="34">
        <f t="shared" si="14"/>
        <v>0.9262303783790788</v>
      </c>
      <c r="AH7" s="34" t="e">
        <f t="shared" si="14"/>
        <v>#DIV/0!</v>
      </c>
      <c r="AI7" s="34">
        <f t="shared" si="14"/>
        <v>0.16666666666666666</v>
      </c>
      <c r="AJ7" s="34">
        <f t="shared" si="14"/>
        <v>0.12238935010153801</v>
      </c>
      <c r="AK7" s="34">
        <f t="shared" si="14"/>
        <v>6</v>
      </c>
      <c r="AL7" s="34">
        <f t="shared" si="14"/>
        <v>2</v>
      </c>
      <c r="AM7" s="34">
        <f t="shared" si="14"/>
        <v>0</v>
      </c>
      <c r="AN7" s="34" t="e">
        <f t="shared" si="14"/>
        <v>#DIV/0!</v>
      </c>
      <c r="AO7" s="34">
        <f t="shared" si="14"/>
        <v>0.09582816666666666</v>
      </c>
      <c r="AP7" s="46" t="s">
        <v>130</v>
      </c>
      <c r="AQ7" s="23">
        <v>0.0708</v>
      </c>
      <c r="AR7" s="23">
        <v>0.1421</v>
      </c>
      <c r="AS7" s="23">
        <v>0.8165</v>
      </c>
      <c r="AT7" s="23">
        <v>2.92</v>
      </c>
      <c r="AU7" s="23">
        <v>4.3027</v>
      </c>
    </row>
    <row r="8" spans="2:47" ht="13.5" thickBot="1">
      <c r="B8" s="70"/>
      <c r="C8" s="68"/>
      <c r="D8" s="68" t="s">
        <v>6</v>
      </c>
      <c r="E8" s="190">
        <f>(1/E7)</f>
        <v>1.0796450033846001</v>
      </c>
      <c r="F8" s="68" t="s">
        <v>228</v>
      </c>
      <c r="G8" s="191"/>
      <c r="H8" s="71" t="s">
        <v>113</v>
      </c>
      <c r="I8" s="192">
        <f>(I15*C11/C12)</f>
        <v>5.5573822702744735</v>
      </c>
      <c r="J8" s="8">
        <f t="shared" si="15"/>
        <v>13</v>
      </c>
      <c r="K8" s="58">
        <f t="shared" si="16"/>
        <v>0.08320502943378437</v>
      </c>
      <c r="L8" s="8">
        <f t="shared" si="17"/>
      </c>
      <c r="M8" s="59">
        <f t="shared" si="18"/>
      </c>
      <c r="N8" s="24">
        <f t="shared" si="19"/>
      </c>
      <c r="O8" s="8">
        <f t="shared" si="0"/>
        <v>13</v>
      </c>
      <c r="P8" s="8">
        <f t="shared" si="12"/>
        <v>3</v>
      </c>
      <c r="R8" s="52">
        <f t="shared" si="1"/>
        <v>0.04249999999999998</v>
      </c>
      <c r="S8" s="3">
        <f t="shared" si="2"/>
        <v>552.863779221291</v>
      </c>
      <c r="T8" s="3">
        <f t="shared" si="3"/>
        <v>73.15546037625695</v>
      </c>
      <c r="U8" s="3">
        <f t="shared" si="4"/>
        <v>67.75880974479618</v>
      </c>
      <c r="V8" s="3"/>
      <c r="W8" s="3" t="e">
        <f t="shared" si="5"/>
        <v>#DIV/0!</v>
      </c>
      <c r="X8" s="3" t="e">
        <f t="shared" si="6"/>
        <v>#DIV/0!</v>
      </c>
      <c r="Y8" s="3" t="e">
        <f t="shared" si="7"/>
        <v>#DIV/0!</v>
      </c>
      <c r="Z8" s="3"/>
      <c r="AA8" s="3">
        <f t="shared" si="8"/>
        <v>954.9658131487898</v>
      </c>
      <c r="AB8" s="3">
        <f t="shared" si="9"/>
        <v>318.3219377162633</v>
      </c>
      <c r="AC8" s="3">
        <f t="shared" si="10"/>
        <v>53.053656286043875</v>
      </c>
      <c r="AD8" s="3"/>
      <c r="AE8" s="34">
        <f t="shared" si="13"/>
        <v>0.0025</v>
      </c>
      <c r="AF8" s="34">
        <f t="shared" si="11"/>
        <v>0.0018062499999999984</v>
      </c>
      <c r="AG8" s="34">
        <f t="shared" si="14"/>
        <v>0.9262303783790788</v>
      </c>
      <c r="AH8" s="34" t="e">
        <f t="shared" si="14"/>
        <v>#DIV/0!</v>
      </c>
      <c r="AI8" s="34">
        <f t="shared" si="14"/>
        <v>0.16666666666666666</v>
      </c>
      <c r="AJ8" s="34">
        <f t="shared" si="14"/>
        <v>0.12238935010153801</v>
      </c>
      <c r="AK8" s="34">
        <f t="shared" si="14"/>
        <v>6</v>
      </c>
      <c r="AL8" s="34">
        <f t="shared" si="14"/>
        <v>2</v>
      </c>
      <c r="AM8" s="34">
        <f t="shared" si="14"/>
        <v>0</v>
      </c>
      <c r="AN8" s="34" t="e">
        <f t="shared" si="14"/>
        <v>#DIV/0!</v>
      </c>
      <c r="AO8" s="34">
        <f t="shared" si="14"/>
        <v>0.09582816666666666</v>
      </c>
      <c r="AP8" s="21">
        <v>4</v>
      </c>
      <c r="AQ8" s="23">
        <v>0.0681</v>
      </c>
      <c r="AR8" s="23">
        <v>0.1366</v>
      </c>
      <c r="AS8" s="23">
        <v>0.7649</v>
      </c>
      <c r="AT8" s="23">
        <v>2.3534</v>
      </c>
      <c r="AU8" s="23">
        <v>3.1824</v>
      </c>
    </row>
    <row r="9" spans="2:47" ht="13.5" thickBot="1">
      <c r="B9" s="186"/>
      <c r="C9" s="611" t="s">
        <v>7</v>
      </c>
      <c r="D9" s="637">
        <v>0.06</v>
      </c>
      <c r="E9" s="68" t="s">
        <v>3</v>
      </c>
      <c r="F9" s="68"/>
      <c r="G9" s="68" t="s">
        <v>3</v>
      </c>
      <c r="H9" s="704" t="s">
        <v>193</v>
      </c>
      <c r="I9" s="705" t="s">
        <v>253</v>
      </c>
      <c r="J9" s="8">
        <f t="shared" si="15"/>
        <v>16</v>
      </c>
      <c r="K9" s="58">
        <f t="shared" si="16"/>
        <v>0.075</v>
      </c>
      <c r="L9" s="8">
        <f t="shared" si="17"/>
      </c>
      <c r="M9" s="59">
        <f t="shared" si="18"/>
      </c>
      <c r="N9" s="24">
        <f t="shared" si="19"/>
      </c>
      <c r="O9" s="8">
        <f t="shared" si="0"/>
        <v>16</v>
      </c>
      <c r="P9" s="8">
        <f t="shared" si="12"/>
        <v>3</v>
      </c>
      <c r="R9" s="52">
        <f t="shared" si="1"/>
        <v>0.044999999999999984</v>
      </c>
      <c r="S9" s="3">
        <f t="shared" si="2"/>
        <v>493.14084010787997</v>
      </c>
      <c r="T9" s="3">
        <f t="shared" si="3"/>
        <v>65.25286434795758</v>
      </c>
      <c r="U9" s="3">
        <f t="shared" si="4"/>
        <v>60.43918523532746</v>
      </c>
      <c r="V9" s="3"/>
      <c r="W9" s="3" t="e">
        <f t="shared" si="5"/>
        <v>#DIV/0!</v>
      </c>
      <c r="X9" s="3" t="e">
        <f t="shared" si="6"/>
        <v>#DIV/0!</v>
      </c>
      <c r="Y9" s="3" t="e">
        <f t="shared" si="7"/>
        <v>#DIV/0!</v>
      </c>
      <c r="Z9" s="3"/>
      <c r="AA9" s="3">
        <f t="shared" si="8"/>
        <v>851.8059259259264</v>
      </c>
      <c r="AB9" s="3">
        <f t="shared" si="9"/>
        <v>283.9353086419755</v>
      </c>
      <c r="AC9" s="3">
        <f t="shared" si="10"/>
        <v>47.32255144032925</v>
      </c>
      <c r="AD9" s="3"/>
      <c r="AE9" s="34">
        <f t="shared" si="13"/>
        <v>0.0025</v>
      </c>
      <c r="AF9" s="34">
        <f t="shared" si="11"/>
        <v>0.0020249999999999986</v>
      </c>
      <c r="AG9" s="34">
        <f t="shared" si="14"/>
        <v>0.9262303783790788</v>
      </c>
      <c r="AH9" s="34" t="e">
        <f t="shared" si="14"/>
        <v>#DIV/0!</v>
      </c>
      <c r="AI9" s="34">
        <f t="shared" si="14"/>
        <v>0.16666666666666666</v>
      </c>
      <c r="AJ9" s="34">
        <f t="shared" si="14"/>
        <v>0.12238935010153801</v>
      </c>
      <c r="AK9" s="34">
        <f t="shared" si="14"/>
        <v>6</v>
      </c>
      <c r="AL9" s="34">
        <f t="shared" si="14"/>
        <v>2</v>
      </c>
      <c r="AM9" s="34">
        <f t="shared" si="14"/>
        <v>0</v>
      </c>
      <c r="AN9" s="34" t="e">
        <f t="shared" si="14"/>
        <v>#DIV/0!</v>
      </c>
      <c r="AO9" s="34">
        <f t="shared" si="14"/>
        <v>0.09582816666666666</v>
      </c>
      <c r="AP9" s="21">
        <v>5</v>
      </c>
      <c r="AQ9" s="23">
        <v>0.0667</v>
      </c>
      <c r="AR9" s="23">
        <v>0.1338</v>
      </c>
      <c r="AS9" s="23">
        <v>0.7407</v>
      </c>
      <c r="AT9" s="23">
        <v>2.1318</v>
      </c>
      <c r="AU9" s="23">
        <v>2.7764</v>
      </c>
    </row>
    <row r="10" spans="2:47" ht="13.5" thickBot="1">
      <c r="B10" s="185" t="s">
        <v>3</v>
      </c>
      <c r="C10" s="68"/>
      <c r="D10" s="68"/>
      <c r="E10" s="68"/>
      <c r="F10" s="68"/>
      <c r="G10" s="68"/>
      <c r="H10" s="704" t="s">
        <v>194</v>
      </c>
      <c r="I10" s="705" t="s">
        <v>252</v>
      </c>
      <c r="J10" s="8">
        <f t="shared" si="15"/>
        <v>19</v>
      </c>
      <c r="K10" s="58">
        <f t="shared" si="16"/>
        <v>0.06882472016116851</v>
      </c>
      <c r="L10" s="8">
        <f t="shared" si="17"/>
      </c>
      <c r="M10" s="59">
        <f t="shared" si="18"/>
      </c>
      <c r="N10" s="24">
        <f t="shared" si="19"/>
      </c>
      <c r="O10" s="8">
        <f t="shared" si="0"/>
        <v>19</v>
      </c>
      <c r="P10" s="8">
        <f t="shared" si="12"/>
        <v>3</v>
      </c>
      <c r="R10" s="52">
        <f t="shared" si="1"/>
        <v>0.04749999999999999</v>
      </c>
      <c r="S10" s="3">
        <f t="shared" si="2"/>
        <v>442.59731909959294</v>
      </c>
      <c r="T10" s="3">
        <f t="shared" si="3"/>
        <v>58.564897641934216</v>
      </c>
      <c r="U10" s="3">
        <f t="shared" si="4"/>
        <v>54.24458730262075</v>
      </c>
      <c r="V10" s="3"/>
      <c r="W10" s="3" t="e">
        <f t="shared" si="5"/>
        <v>#DIV/0!</v>
      </c>
      <c r="X10" s="3" t="e">
        <f t="shared" si="6"/>
        <v>#DIV/0!</v>
      </c>
      <c r="Y10" s="3" t="e">
        <f t="shared" si="7"/>
        <v>#DIV/0!</v>
      </c>
      <c r="Z10" s="3"/>
      <c r="AA10" s="3">
        <f t="shared" si="8"/>
        <v>764.5017174515239</v>
      </c>
      <c r="AB10" s="3">
        <f t="shared" si="9"/>
        <v>254.83390581717464</v>
      </c>
      <c r="AC10" s="3">
        <f t="shared" si="10"/>
        <v>42.47231763619577</v>
      </c>
      <c r="AD10" s="3"/>
      <c r="AE10" s="34">
        <f t="shared" si="13"/>
        <v>0.0025</v>
      </c>
      <c r="AF10" s="34">
        <f t="shared" si="11"/>
        <v>0.0022562499999999987</v>
      </c>
      <c r="AG10" s="34">
        <f t="shared" si="14"/>
        <v>0.9262303783790788</v>
      </c>
      <c r="AH10" s="34" t="e">
        <f t="shared" si="14"/>
        <v>#DIV/0!</v>
      </c>
      <c r="AI10" s="34">
        <f t="shared" si="14"/>
        <v>0.16666666666666666</v>
      </c>
      <c r="AJ10" s="34">
        <f t="shared" si="14"/>
        <v>0.12238935010153801</v>
      </c>
      <c r="AK10" s="34">
        <f t="shared" si="14"/>
        <v>6</v>
      </c>
      <c r="AL10" s="34">
        <f t="shared" si="14"/>
        <v>2</v>
      </c>
      <c r="AM10" s="34">
        <f t="shared" si="14"/>
        <v>0</v>
      </c>
      <c r="AN10" s="34" t="e">
        <f t="shared" si="14"/>
        <v>#DIV/0!</v>
      </c>
      <c r="AO10" s="34">
        <f t="shared" si="14"/>
        <v>0.09582816666666666</v>
      </c>
      <c r="AP10" s="21">
        <v>6</v>
      </c>
      <c r="AQ10" s="23">
        <v>0.0659</v>
      </c>
      <c r="AR10" s="23">
        <v>0.1322</v>
      </c>
      <c r="AS10" s="23">
        <v>0.7267</v>
      </c>
      <c r="AT10" s="23">
        <v>2.015</v>
      </c>
      <c r="AU10" s="23">
        <v>2.5706</v>
      </c>
    </row>
    <row r="11" spans="2:47" ht="12.75">
      <c r="B11" s="193" t="s">
        <v>8</v>
      </c>
      <c r="C11" s="641">
        <f>(C12*E7)</f>
        <v>33.99704169487167</v>
      </c>
      <c r="D11" s="725" t="s">
        <v>229</v>
      </c>
      <c r="E11" s="194">
        <f>(C3/(SQRT(C11)))</f>
        <v>0.05145181397622624</v>
      </c>
      <c r="F11" s="725" t="s">
        <v>104</v>
      </c>
      <c r="G11" s="195">
        <f>(C11*E3)+(C12*E5)+H3+H4+H5</f>
        <v>277.39172256068224</v>
      </c>
      <c r="H11" s="71" t="s">
        <v>108</v>
      </c>
      <c r="I11" s="196">
        <f>(G11/C11)</f>
        <v>8.1592900067692</v>
      </c>
      <c r="J11" s="8">
        <f t="shared" si="15"/>
        <v>22</v>
      </c>
      <c r="K11" s="58">
        <f t="shared" si="16"/>
        <v>0.06396021490668312</v>
      </c>
      <c r="L11" s="8">
        <f t="shared" si="17"/>
      </c>
      <c r="M11" s="59">
        <f t="shared" si="18"/>
      </c>
      <c r="N11" s="24">
        <f t="shared" si="19"/>
      </c>
      <c r="O11" s="8">
        <f t="shared" si="0"/>
        <v>22</v>
      </c>
      <c r="P11" s="8">
        <f t="shared" si="12"/>
        <v>3</v>
      </c>
      <c r="R11" s="52">
        <f t="shared" si="1"/>
        <v>0.04999999999999999</v>
      </c>
      <c r="S11" s="3">
        <f t="shared" si="2"/>
        <v>399.4440804873826</v>
      </c>
      <c r="T11" s="3">
        <f t="shared" si="3"/>
        <v>52.854820121845634</v>
      </c>
      <c r="U11" s="3">
        <f t="shared" si="4"/>
        <v>48.95574004061523</v>
      </c>
      <c r="V11" s="3"/>
      <c r="W11" s="3" t="e">
        <f t="shared" si="5"/>
        <v>#DIV/0!</v>
      </c>
      <c r="X11" s="3" t="e">
        <f t="shared" si="6"/>
        <v>#DIV/0!</v>
      </c>
      <c r="Y11" s="3" t="e">
        <f t="shared" si="7"/>
        <v>#DIV/0!</v>
      </c>
      <c r="Z11" s="3"/>
      <c r="AA11" s="3">
        <f t="shared" si="8"/>
        <v>689.9628000000004</v>
      </c>
      <c r="AB11" s="3">
        <f t="shared" si="9"/>
        <v>229.98760000000013</v>
      </c>
      <c r="AC11" s="3">
        <f t="shared" si="10"/>
        <v>38.331266666666686</v>
      </c>
      <c r="AD11" s="3"/>
      <c r="AE11" s="34">
        <f t="shared" si="13"/>
        <v>0.0025</v>
      </c>
      <c r="AF11" s="34">
        <f t="shared" si="11"/>
        <v>0.0024999999999999988</v>
      </c>
      <c r="AG11" s="34">
        <f t="shared" si="14"/>
        <v>0.9262303783790788</v>
      </c>
      <c r="AH11" s="34" t="e">
        <f t="shared" si="14"/>
        <v>#DIV/0!</v>
      </c>
      <c r="AI11" s="34">
        <f t="shared" si="14"/>
        <v>0.16666666666666666</v>
      </c>
      <c r="AJ11" s="34">
        <f t="shared" si="14"/>
        <v>0.12238935010153801</v>
      </c>
      <c r="AK11" s="34">
        <f t="shared" si="14"/>
        <v>6</v>
      </c>
      <c r="AL11" s="34">
        <f t="shared" si="14"/>
        <v>2</v>
      </c>
      <c r="AM11" s="34">
        <f t="shared" si="14"/>
        <v>0</v>
      </c>
      <c r="AN11" s="34" t="e">
        <f t="shared" si="14"/>
        <v>#DIV/0!</v>
      </c>
      <c r="AO11" s="34">
        <f t="shared" si="14"/>
        <v>0.09582816666666666</v>
      </c>
      <c r="AP11" s="21">
        <v>7</v>
      </c>
      <c r="AQ11" s="23">
        <v>0.0654</v>
      </c>
      <c r="AR11" s="23">
        <v>0.1311</v>
      </c>
      <c r="AS11" s="23">
        <v>0.7176</v>
      </c>
      <c r="AT11" s="23">
        <v>1.9432</v>
      </c>
      <c r="AU11" s="23">
        <v>2.4469</v>
      </c>
    </row>
    <row r="12" spans="2:47" ht="13.5" thickBot="1">
      <c r="B12" s="197" t="s">
        <v>12</v>
      </c>
      <c r="C12" s="642">
        <f>((C3*C3)+(C5*C5*E7))/(D9*D9*E7)</f>
        <v>36.70473619572611</v>
      </c>
      <c r="D12" s="726" t="s">
        <v>230</v>
      </c>
      <c r="E12" s="198">
        <f>(C5/(SQRT(C12)))</f>
        <v>0.030866014296565887</v>
      </c>
      <c r="F12" s="73"/>
      <c r="G12" s="73"/>
      <c r="H12" s="199" t="s">
        <v>151</v>
      </c>
      <c r="I12" s="200">
        <f>SQRT(C11)*D9</f>
        <v>0.34984189300530893</v>
      </c>
      <c r="J12" s="8">
        <f t="shared" si="15"/>
        <v>25</v>
      </c>
      <c r="K12" s="58">
        <f t="shared" si="16"/>
        <v>0.06</v>
      </c>
      <c r="L12" s="8">
        <f t="shared" si="17"/>
      </c>
      <c r="M12" s="59">
        <f t="shared" si="18"/>
      </c>
      <c r="N12" s="24">
        <f t="shared" si="19"/>
      </c>
      <c r="O12" s="8">
        <f t="shared" si="0"/>
        <v>25</v>
      </c>
      <c r="P12" s="8">
        <f t="shared" si="12"/>
        <v>3</v>
      </c>
      <c r="R12" s="52">
        <f t="shared" si="1"/>
        <v>0.05249999999999999</v>
      </c>
      <c r="S12" s="3">
        <f t="shared" si="2"/>
        <v>362.30755599762585</v>
      </c>
      <c r="T12" s="3">
        <f t="shared" si="3"/>
        <v>47.94087992911167</v>
      </c>
      <c r="U12" s="3">
        <f t="shared" si="4"/>
        <v>44.40429935656709</v>
      </c>
      <c r="V12" s="3"/>
      <c r="W12" s="3" t="e">
        <f t="shared" si="5"/>
        <v>#DIV/0!</v>
      </c>
      <c r="X12" s="3" t="e">
        <f t="shared" si="6"/>
        <v>#DIV/0!</v>
      </c>
      <c r="Y12" s="3" t="e">
        <f t="shared" si="7"/>
        <v>#DIV/0!</v>
      </c>
      <c r="Z12" s="3"/>
      <c r="AA12" s="3">
        <f t="shared" si="8"/>
        <v>625.816598639456</v>
      </c>
      <c r="AB12" s="3">
        <f t="shared" si="9"/>
        <v>208.60553287981867</v>
      </c>
      <c r="AC12" s="3">
        <f t="shared" si="10"/>
        <v>34.76758881330311</v>
      </c>
      <c r="AD12" s="3"/>
      <c r="AE12" s="34">
        <f t="shared" si="13"/>
        <v>0.0025</v>
      </c>
      <c r="AF12" s="34">
        <f t="shared" si="11"/>
        <v>0.002756249999999999</v>
      </c>
      <c r="AG12" s="34">
        <f t="shared" si="14"/>
        <v>0.9262303783790788</v>
      </c>
      <c r="AH12" s="34" t="e">
        <f t="shared" si="14"/>
        <v>#DIV/0!</v>
      </c>
      <c r="AI12" s="34">
        <f t="shared" si="14"/>
        <v>0.16666666666666666</v>
      </c>
      <c r="AJ12" s="34">
        <f t="shared" si="14"/>
        <v>0.12238935010153801</v>
      </c>
      <c r="AK12" s="34">
        <f t="shared" si="14"/>
        <v>6</v>
      </c>
      <c r="AL12" s="34">
        <f t="shared" si="14"/>
        <v>2</v>
      </c>
      <c r="AM12" s="34">
        <f t="shared" si="14"/>
        <v>0</v>
      </c>
      <c r="AN12" s="34" t="e">
        <f t="shared" si="14"/>
        <v>#DIV/0!</v>
      </c>
      <c r="AO12" s="34">
        <f t="shared" si="14"/>
        <v>0.09582816666666666</v>
      </c>
      <c r="AP12" s="21">
        <v>8</v>
      </c>
      <c r="AQ12" s="23">
        <v>0.065</v>
      </c>
      <c r="AR12" s="23">
        <v>0.1303</v>
      </c>
      <c r="AS12" s="23">
        <v>0.7111</v>
      </c>
      <c r="AT12" s="23">
        <v>1.8946</v>
      </c>
      <c r="AU12" s="23">
        <v>2.3646</v>
      </c>
    </row>
    <row r="13" spans="2:47" ht="13.5" thickBot="1">
      <c r="B13" s="267" t="s">
        <v>52</v>
      </c>
      <c r="C13" s="268" t="s">
        <v>53</v>
      </c>
      <c r="D13" s="269"/>
      <c r="E13" s="269"/>
      <c r="F13" s="269"/>
      <c r="G13" s="269"/>
      <c r="H13" s="269"/>
      <c r="I13" s="269"/>
      <c r="J13" s="8">
        <f t="shared" si="15"/>
        <v>28</v>
      </c>
      <c r="K13" s="58">
        <f t="shared" si="16"/>
        <v>0.05669467095138408</v>
      </c>
      <c r="L13" s="8">
        <f t="shared" si="17"/>
        <v>90.66037037037027</v>
      </c>
      <c r="M13" s="59">
        <f t="shared" si="18"/>
        <v>0.019639610121239326</v>
      </c>
      <c r="N13" s="24">
        <f t="shared" si="19"/>
        <v>349.3207407407406</v>
      </c>
      <c r="O13" s="8">
        <f t="shared" si="0"/>
        <v>28</v>
      </c>
      <c r="P13" s="8">
        <f t="shared" si="12"/>
        <v>3</v>
      </c>
      <c r="R13" s="52">
        <f t="shared" si="1"/>
        <v>0.05499999999999999</v>
      </c>
      <c r="S13" s="3">
        <f t="shared" si="2"/>
        <v>330.11907478296075</v>
      </c>
      <c r="T13" s="3">
        <f t="shared" si="3"/>
        <v>43.68166952218646</v>
      </c>
      <c r="U13" s="3">
        <f t="shared" si="4"/>
        <v>40.45928928976464</v>
      </c>
      <c r="V13" s="3"/>
      <c r="W13" s="3" t="e">
        <f t="shared" si="5"/>
        <v>#DIV/0!</v>
      </c>
      <c r="X13" s="3" t="e">
        <f t="shared" si="6"/>
        <v>#DIV/0!</v>
      </c>
      <c r="Y13" s="3" t="e">
        <f t="shared" si="7"/>
        <v>#DIV/0!</v>
      </c>
      <c r="Z13" s="3"/>
      <c r="AA13" s="3">
        <f t="shared" si="8"/>
        <v>570.2171900826447</v>
      </c>
      <c r="AB13" s="3">
        <f t="shared" si="9"/>
        <v>190.07239669421492</v>
      </c>
      <c r="AC13" s="3">
        <f t="shared" si="10"/>
        <v>31.678732782369153</v>
      </c>
      <c r="AD13" s="3"/>
      <c r="AE13" s="34">
        <f t="shared" si="13"/>
        <v>0.0025</v>
      </c>
      <c r="AF13" s="34">
        <f t="shared" si="11"/>
        <v>0.0030249999999999995</v>
      </c>
      <c r="AG13" s="34">
        <f t="shared" si="14"/>
        <v>0.9262303783790788</v>
      </c>
      <c r="AH13" s="34" t="e">
        <f t="shared" si="14"/>
        <v>#DIV/0!</v>
      </c>
      <c r="AI13" s="34">
        <f t="shared" si="14"/>
        <v>0.16666666666666666</v>
      </c>
      <c r="AJ13" s="34">
        <f t="shared" si="14"/>
        <v>0.12238935010153801</v>
      </c>
      <c r="AK13" s="34">
        <f t="shared" si="14"/>
        <v>6</v>
      </c>
      <c r="AL13" s="34">
        <f t="shared" si="14"/>
        <v>2</v>
      </c>
      <c r="AM13" s="34">
        <f t="shared" si="14"/>
        <v>0</v>
      </c>
      <c r="AN13" s="34" t="e">
        <f t="shared" si="14"/>
        <v>#DIV/0!</v>
      </c>
      <c r="AO13" s="34">
        <f t="shared" si="14"/>
        <v>0.09582816666666666</v>
      </c>
      <c r="AP13" s="21">
        <v>9</v>
      </c>
      <c r="AQ13" s="23">
        <v>0.0647</v>
      </c>
      <c r="AR13" s="23">
        <v>0.1297</v>
      </c>
      <c r="AS13" s="23">
        <v>0.7064</v>
      </c>
      <c r="AT13" s="23">
        <v>1.8595</v>
      </c>
      <c r="AU13" s="23">
        <v>2.306</v>
      </c>
    </row>
    <row r="14" spans="1:47" ht="13.5" thickBot="1">
      <c r="A14" s="686">
        <v>2</v>
      </c>
      <c r="B14" s="247" t="s">
        <v>139</v>
      </c>
      <c r="C14" s="638"/>
      <c r="D14" s="249"/>
      <c r="E14" s="248"/>
      <c r="F14" s="88"/>
      <c r="G14" s="250" t="s">
        <v>112</v>
      </c>
      <c r="H14" s="88"/>
      <c r="I14" s="81" t="e">
        <f>IF(I15&gt;0,(I15*C15/C16),"")</f>
        <v>#DIV/0!</v>
      </c>
      <c r="J14" s="24">
        <f t="shared" si="15"/>
        <v>31</v>
      </c>
      <c r="K14" s="58">
        <f t="shared" si="16"/>
        <v>0.05388159060803247</v>
      </c>
      <c r="L14" s="8">
        <f t="shared" si="17"/>
        <v>50.18699074074076</v>
      </c>
      <c r="M14" s="59">
        <f t="shared" si="18"/>
        <v>0.026396480703843588</v>
      </c>
      <c r="N14" s="24">
        <f t="shared" si="19"/>
        <v>286.3739814814815</v>
      </c>
      <c r="O14" s="8">
        <f t="shared" si="0"/>
        <v>31</v>
      </c>
      <c r="P14" s="8">
        <f t="shared" si="12"/>
        <v>3</v>
      </c>
      <c r="R14" s="53">
        <f t="shared" si="1"/>
        <v>0.057499999999999996</v>
      </c>
      <c r="S14" s="3">
        <f t="shared" si="2"/>
        <v>302.03711189972216</v>
      </c>
      <c r="T14" s="3">
        <f t="shared" si="3"/>
        <v>39.965837521244325</v>
      </c>
      <c r="U14" s="3">
        <f t="shared" si="4"/>
        <v>37.01757280953892</v>
      </c>
      <c r="V14" s="3"/>
      <c r="W14" s="3" t="e">
        <f t="shared" si="5"/>
        <v>#DIV/0!</v>
      </c>
      <c r="X14" s="3" t="e">
        <f t="shared" si="6"/>
        <v>#DIV/0!</v>
      </c>
      <c r="Y14" s="3" t="e">
        <f t="shared" si="7"/>
        <v>#DIV/0!</v>
      </c>
      <c r="Z14" s="3"/>
      <c r="AA14" s="3">
        <f t="shared" si="8"/>
        <v>521.7110018903593</v>
      </c>
      <c r="AB14" s="3">
        <f t="shared" si="9"/>
        <v>173.90366729678644</v>
      </c>
      <c r="AC14" s="3">
        <f t="shared" si="10"/>
        <v>28.983944549464404</v>
      </c>
      <c r="AD14" s="3"/>
      <c r="AE14" s="34">
        <f t="shared" si="13"/>
        <v>0.0025</v>
      </c>
      <c r="AF14" s="34">
        <f t="shared" si="11"/>
        <v>0.0033062499999999993</v>
      </c>
      <c r="AG14" s="34">
        <f t="shared" si="14"/>
        <v>0.9262303783790788</v>
      </c>
      <c r="AH14" s="34" t="e">
        <f t="shared" si="14"/>
        <v>#DIV/0!</v>
      </c>
      <c r="AI14" s="34">
        <f t="shared" si="14"/>
        <v>0.16666666666666666</v>
      </c>
      <c r="AJ14" s="34">
        <f t="shared" si="14"/>
        <v>0.12238935010153801</v>
      </c>
      <c r="AK14" s="34">
        <f t="shared" si="14"/>
        <v>6</v>
      </c>
      <c r="AL14" s="34">
        <f t="shared" si="14"/>
        <v>2</v>
      </c>
      <c r="AM14" s="34">
        <f t="shared" si="14"/>
        <v>0</v>
      </c>
      <c r="AN14" s="34" t="e">
        <f t="shared" si="14"/>
        <v>#DIV/0!</v>
      </c>
      <c r="AO14" s="34">
        <f t="shared" si="14"/>
        <v>0.09582816666666666</v>
      </c>
      <c r="AP14" s="21">
        <v>10</v>
      </c>
      <c r="AQ14" s="23">
        <v>0.0645</v>
      </c>
      <c r="AR14" s="23">
        <v>0.1293</v>
      </c>
      <c r="AS14" s="23">
        <v>0.7027</v>
      </c>
      <c r="AT14" s="23">
        <v>1.8331</v>
      </c>
      <c r="AU14" s="23">
        <v>2.2622</v>
      </c>
    </row>
    <row r="15" spans="2:47" ht="12.75">
      <c r="B15" s="258" t="s">
        <v>54</v>
      </c>
      <c r="C15" s="639"/>
      <c r="D15" s="256" t="e">
        <f>C92</f>
        <v>#DIV/0!</v>
      </c>
      <c r="E15" s="253" t="s">
        <v>9</v>
      </c>
      <c r="F15" s="176" t="e">
        <f>(C3/(SQRT(C15)))</f>
        <v>#DIV/0!</v>
      </c>
      <c r="G15" s="87"/>
      <c r="H15" s="251" t="s">
        <v>55</v>
      </c>
      <c r="I15" s="219">
        <v>6</v>
      </c>
      <c r="J15" s="25">
        <f>+O15</f>
        <v>34</v>
      </c>
      <c r="K15" s="58">
        <f t="shared" si="16"/>
        <v>0.051449575542752646</v>
      </c>
      <c r="L15" s="8">
        <f t="shared" si="17"/>
        <v>36.69586419753085</v>
      </c>
      <c r="M15" s="59">
        <f t="shared" si="18"/>
        <v>0.030869745325651596</v>
      </c>
      <c r="N15" s="24">
        <f t="shared" si="19"/>
        <v>277.3917283950617</v>
      </c>
      <c r="O15" s="8">
        <f>N1+M2</f>
        <v>34</v>
      </c>
      <c r="P15" s="8">
        <f t="shared" si="12"/>
        <v>3</v>
      </c>
      <c r="Q15" s="37" t="s">
        <v>56</v>
      </c>
      <c r="R15" s="689">
        <f>U1</f>
        <v>0.06</v>
      </c>
      <c r="S15" s="3">
        <f t="shared" si="2"/>
        <v>277.39172256068224</v>
      </c>
      <c r="T15" s="3">
        <f t="shared" si="3"/>
        <v>36.70473619572611</v>
      </c>
      <c r="U15" s="3">
        <f t="shared" si="4"/>
        <v>33.99704169487167</v>
      </c>
      <c r="V15" s="3"/>
      <c r="W15" s="3" t="e">
        <f t="shared" si="5"/>
        <v>#DIV/0!</v>
      </c>
      <c r="X15" s="3" t="e">
        <f t="shared" si="6"/>
        <v>#DIV/0!</v>
      </c>
      <c r="Y15" s="3" t="e">
        <f t="shared" si="7"/>
        <v>#DIV/0!</v>
      </c>
      <c r="Z15" s="3"/>
      <c r="AA15" s="3">
        <f t="shared" si="8"/>
        <v>479.1408333333333</v>
      </c>
      <c r="AB15" s="3">
        <f t="shared" si="9"/>
        <v>159.7136111111111</v>
      </c>
      <c r="AC15" s="3">
        <f t="shared" si="10"/>
        <v>26.618935185185183</v>
      </c>
      <c r="AD15" s="3"/>
      <c r="AE15" s="34">
        <f t="shared" si="13"/>
        <v>0.0025</v>
      </c>
      <c r="AF15" s="34">
        <f t="shared" si="11"/>
        <v>0.0036</v>
      </c>
      <c r="AG15" s="34">
        <f t="shared" si="14"/>
        <v>0.9262303783790788</v>
      </c>
      <c r="AH15" s="34" t="e">
        <f t="shared" si="14"/>
        <v>#DIV/0!</v>
      </c>
      <c r="AI15" s="34">
        <f t="shared" si="14"/>
        <v>0.16666666666666666</v>
      </c>
      <c r="AJ15" s="34">
        <f t="shared" si="14"/>
        <v>0.12238935010153801</v>
      </c>
      <c r="AK15" s="34">
        <f t="shared" si="14"/>
        <v>6</v>
      </c>
      <c r="AL15" s="34">
        <f t="shared" si="14"/>
        <v>2</v>
      </c>
      <c r="AM15" s="34">
        <f t="shared" si="14"/>
        <v>0</v>
      </c>
      <c r="AN15" s="34" t="e">
        <f t="shared" si="14"/>
        <v>#DIV/0!</v>
      </c>
      <c r="AO15" s="34">
        <f t="shared" si="14"/>
        <v>0.09582816666666666</v>
      </c>
      <c r="AP15" s="21">
        <v>11</v>
      </c>
      <c r="AQ15" s="23">
        <v>0.0643</v>
      </c>
      <c r="AR15" s="23">
        <v>0.1289</v>
      </c>
      <c r="AS15" s="23">
        <v>0.6998</v>
      </c>
      <c r="AT15" s="23">
        <v>1.8125</v>
      </c>
      <c r="AU15" s="23">
        <v>2.2281</v>
      </c>
    </row>
    <row r="16" spans="2:47" ht="13.5" thickBot="1">
      <c r="B16" s="258" t="s">
        <v>57</v>
      </c>
      <c r="C16" s="640"/>
      <c r="D16" s="256" t="e">
        <f>C93</f>
        <v>#DIV/0!</v>
      </c>
      <c r="E16" s="251" t="s">
        <v>13</v>
      </c>
      <c r="F16" s="176" t="e">
        <f>(C5/(SQRT(C16)))</f>
        <v>#DIV/0!</v>
      </c>
      <c r="G16" s="87"/>
      <c r="H16" s="252" t="s">
        <v>110</v>
      </c>
      <c r="I16" s="82">
        <f>IF(I15&gt;0,(I15*C15),"")</f>
        <v>0</v>
      </c>
      <c r="J16" s="8">
        <f t="shared" si="15"/>
        <v>37</v>
      </c>
      <c r="K16" s="58">
        <f t="shared" si="16"/>
        <v>0.049319696191607185</v>
      </c>
      <c r="L16" s="8">
        <f t="shared" si="17"/>
        <v>29.950300925925927</v>
      </c>
      <c r="M16" s="59">
        <f t="shared" si="18"/>
        <v>0.034169687847089965</v>
      </c>
      <c r="N16" s="24">
        <f t="shared" si="19"/>
        <v>281.90060185185183</v>
      </c>
      <c r="O16" s="8">
        <f aca="true" t="shared" si="20" ref="O16:O24">O15+P15</f>
        <v>37</v>
      </c>
      <c r="P16" s="8">
        <f t="shared" si="12"/>
        <v>3</v>
      </c>
      <c r="R16" s="52">
        <f aca="true" t="shared" si="21" ref="R16:R26">R15+AE17</f>
        <v>0.0625</v>
      </c>
      <c r="S16" s="3">
        <f t="shared" si="2"/>
        <v>255.64421151192477</v>
      </c>
      <c r="T16" s="3">
        <f t="shared" si="3"/>
        <v>33.827084877981186</v>
      </c>
      <c r="U16" s="3">
        <f t="shared" si="4"/>
        <v>31.33167362599373</v>
      </c>
      <c r="V16" s="3"/>
      <c r="W16" s="3" t="e">
        <f t="shared" si="5"/>
        <v>#DIV/0!</v>
      </c>
      <c r="X16" s="3" t="e">
        <f t="shared" si="6"/>
        <v>#DIV/0!</v>
      </c>
      <c r="Y16" s="3" t="e">
        <f t="shared" si="7"/>
        <v>#DIV/0!</v>
      </c>
      <c r="Z16" s="3"/>
      <c r="AA16" s="3">
        <f t="shared" si="8"/>
        <v>441.576192</v>
      </c>
      <c r="AB16" s="3">
        <f t="shared" si="9"/>
        <v>147.192064</v>
      </c>
      <c r="AC16" s="3">
        <f t="shared" si="10"/>
        <v>24.532010666666665</v>
      </c>
      <c r="AD16" s="3"/>
      <c r="AE16" s="34">
        <f t="shared" si="13"/>
        <v>0.0025</v>
      </c>
      <c r="AF16" s="34">
        <f t="shared" si="11"/>
        <v>0.00390625</v>
      </c>
      <c r="AG16" s="34">
        <f t="shared" si="14"/>
        <v>0.9262303783790788</v>
      </c>
      <c r="AH16" s="34" t="e">
        <f t="shared" si="14"/>
        <v>#DIV/0!</v>
      </c>
      <c r="AI16" s="34">
        <f t="shared" si="14"/>
        <v>0.16666666666666666</v>
      </c>
      <c r="AJ16" s="34">
        <f t="shared" si="14"/>
        <v>0.12238935010153801</v>
      </c>
      <c r="AK16" s="34">
        <f t="shared" si="14"/>
        <v>6</v>
      </c>
      <c r="AL16" s="34">
        <f t="shared" si="14"/>
        <v>2</v>
      </c>
      <c r="AM16" s="34">
        <f t="shared" si="14"/>
        <v>0</v>
      </c>
      <c r="AN16" s="34" t="e">
        <f t="shared" si="14"/>
        <v>#DIV/0!</v>
      </c>
      <c r="AO16" s="34">
        <f t="shared" si="14"/>
        <v>0.09582816666666666</v>
      </c>
      <c r="AP16" s="21">
        <v>12</v>
      </c>
      <c r="AQ16" s="23">
        <v>0.0642</v>
      </c>
      <c r="AR16" s="23">
        <v>0.1286</v>
      </c>
      <c r="AS16" s="23">
        <v>0.6874</v>
      </c>
      <c r="AT16" s="23">
        <v>1.7959</v>
      </c>
      <c r="AU16" s="23">
        <v>2.201</v>
      </c>
    </row>
    <row r="17" spans="2:47" ht="13.5" thickBot="1">
      <c r="B17" s="515" t="s">
        <v>201</v>
      </c>
      <c r="C17" s="513" t="s">
        <v>58</v>
      </c>
      <c r="D17" s="652" t="e">
        <f>M28</f>
        <v>#DIV/0!</v>
      </c>
      <c r="E17" s="254" t="s">
        <v>59</v>
      </c>
      <c r="F17" s="643" t="e">
        <f>(SQRT(F15*F15+F16*F16))</f>
        <v>#DIV/0!</v>
      </c>
      <c r="G17" s="87"/>
      <c r="H17" s="252" t="s">
        <v>242</v>
      </c>
      <c r="I17" s="83">
        <f>IF(I15="","",C16/I15)</f>
        <v>0</v>
      </c>
      <c r="J17" s="8">
        <f t="shared" si="15"/>
        <v>40</v>
      </c>
      <c r="K17" s="58">
        <f t="shared" si="16"/>
        <v>0.04743416490252569</v>
      </c>
      <c r="L17" s="8">
        <f t="shared" si="17"/>
        <v>25.902962962962963</v>
      </c>
      <c r="M17" s="59">
        <f t="shared" si="18"/>
        <v>0.03674234614174767</v>
      </c>
      <c r="N17" s="24">
        <f t="shared" si="19"/>
        <v>291.8059259259259</v>
      </c>
      <c r="O17" s="8">
        <f t="shared" si="20"/>
        <v>40</v>
      </c>
      <c r="P17" s="8">
        <f t="shared" si="12"/>
        <v>3</v>
      </c>
      <c r="R17" s="52">
        <f t="shared" si="21"/>
        <v>0.065</v>
      </c>
      <c r="S17" s="3">
        <f t="shared" si="2"/>
        <v>236.3574440753742</v>
      </c>
      <c r="T17" s="3">
        <f t="shared" si="3"/>
        <v>31.27504149221633</v>
      </c>
      <c r="U17" s="3">
        <f t="shared" si="4"/>
        <v>28.967893515156923</v>
      </c>
      <c r="V17" s="3"/>
      <c r="W17" s="3" t="e">
        <f t="shared" si="5"/>
        <v>#DIV/0!</v>
      </c>
      <c r="X17" s="3" t="e">
        <f t="shared" si="6"/>
        <v>#DIV/0!</v>
      </c>
      <c r="Y17" s="3" t="e">
        <f t="shared" si="7"/>
        <v>#DIV/0!</v>
      </c>
      <c r="Z17" s="3"/>
      <c r="AA17" s="3">
        <f t="shared" si="8"/>
        <v>408.2620118343194</v>
      </c>
      <c r="AB17" s="3">
        <f t="shared" si="9"/>
        <v>136.08733727810647</v>
      </c>
      <c r="AC17" s="3">
        <f t="shared" si="10"/>
        <v>22.681222879684412</v>
      </c>
      <c r="AD17" s="3"/>
      <c r="AE17" s="34">
        <f t="shared" si="13"/>
        <v>0.0025</v>
      </c>
      <c r="AF17" s="34">
        <f t="shared" si="11"/>
        <v>0.0042250000000000005</v>
      </c>
      <c r="AG17" s="34">
        <f t="shared" si="14"/>
        <v>0.9262303783790788</v>
      </c>
      <c r="AH17" s="34" t="e">
        <f t="shared" si="14"/>
        <v>#DIV/0!</v>
      </c>
      <c r="AI17" s="34">
        <f t="shared" si="14"/>
        <v>0.16666666666666666</v>
      </c>
      <c r="AJ17" s="34">
        <f t="shared" si="14"/>
        <v>0.12238935010153801</v>
      </c>
      <c r="AK17" s="34">
        <f t="shared" si="14"/>
        <v>6</v>
      </c>
      <c r="AL17" s="34">
        <f t="shared" si="14"/>
        <v>2</v>
      </c>
      <c r="AM17" s="34">
        <f t="shared" si="14"/>
        <v>0</v>
      </c>
      <c r="AN17" s="34" t="e">
        <f t="shared" si="14"/>
        <v>#DIV/0!</v>
      </c>
      <c r="AO17" s="34">
        <f t="shared" si="14"/>
        <v>0.09582816666666666</v>
      </c>
      <c r="AP17" s="21">
        <v>13</v>
      </c>
      <c r="AQ17" s="23">
        <v>0.064</v>
      </c>
      <c r="AR17" s="23">
        <v>0.1283</v>
      </c>
      <c r="AS17" s="23">
        <v>0.6955</v>
      </c>
      <c r="AT17" s="23">
        <v>1.7823</v>
      </c>
      <c r="AU17" s="23">
        <v>2.1788</v>
      </c>
    </row>
    <row r="18" spans="2:47" ht="12.75">
      <c r="B18" s="257" t="s">
        <v>3</v>
      </c>
      <c r="C18" s="514" t="s">
        <v>60</v>
      </c>
      <c r="D18" s="652" t="e">
        <f>M27</f>
        <v>#DIV/0!</v>
      </c>
      <c r="E18" s="255" t="s">
        <v>92</v>
      </c>
      <c r="F18" s="517">
        <f>(C15*E3+C16*E5)+H3+H4+H5</f>
        <v>0</v>
      </c>
      <c r="G18" s="87"/>
      <c r="H18" s="252" t="s">
        <v>11</v>
      </c>
      <c r="I18" s="83" t="e">
        <f>(F18/C15)</f>
        <v>#DIV/0!</v>
      </c>
      <c r="J18" s="8">
        <f t="shared" si="15"/>
        <v>43</v>
      </c>
      <c r="K18" s="58">
        <f t="shared" si="16"/>
        <v>0.0457495710997814</v>
      </c>
      <c r="L18" s="8">
        <f t="shared" si="17"/>
        <v>23.204737654320997</v>
      </c>
      <c r="M18" s="59">
        <f t="shared" si="18"/>
        <v>0.038819798353237824</v>
      </c>
      <c r="N18" s="24">
        <f t="shared" si="19"/>
        <v>304.409475308642</v>
      </c>
      <c r="O18" s="8">
        <f t="shared" si="20"/>
        <v>43</v>
      </c>
      <c r="P18" s="8">
        <f t="shared" si="12"/>
        <v>3</v>
      </c>
      <c r="R18" s="52">
        <f t="shared" si="21"/>
        <v>0.0675</v>
      </c>
      <c r="S18" s="3">
        <f t="shared" si="2"/>
        <v>219.1737067146131</v>
      </c>
      <c r="T18" s="3">
        <f t="shared" si="3"/>
        <v>29.00127304353668</v>
      </c>
      <c r="U18" s="3">
        <f t="shared" si="4"/>
        <v>26.861860104589958</v>
      </c>
      <c r="V18" s="3"/>
      <c r="W18" s="3" t="e">
        <f t="shared" si="5"/>
        <v>#DIV/0!</v>
      </c>
      <c r="X18" s="3" t="e">
        <f t="shared" si="6"/>
        <v>#DIV/0!</v>
      </c>
      <c r="Y18" s="3" t="e">
        <f t="shared" si="7"/>
        <v>#DIV/0!</v>
      </c>
      <c r="Z18" s="3"/>
      <c r="AA18" s="3">
        <f t="shared" si="8"/>
        <v>378.58041152263365</v>
      </c>
      <c r="AB18" s="3">
        <f t="shared" si="9"/>
        <v>126.19347050754456</v>
      </c>
      <c r="AC18" s="3">
        <f t="shared" si="10"/>
        <v>21.03224508459076</v>
      </c>
      <c r="AD18" s="3"/>
      <c r="AE18" s="34">
        <f t="shared" si="13"/>
        <v>0.0025</v>
      </c>
      <c r="AF18" s="34">
        <f t="shared" si="11"/>
        <v>0.00455625</v>
      </c>
      <c r="AG18" s="34">
        <f t="shared" si="14"/>
        <v>0.9262303783790788</v>
      </c>
      <c r="AH18" s="34" t="e">
        <f t="shared" si="14"/>
        <v>#DIV/0!</v>
      </c>
      <c r="AI18" s="34">
        <f t="shared" si="14"/>
        <v>0.16666666666666666</v>
      </c>
      <c r="AJ18" s="34">
        <f t="shared" si="14"/>
        <v>0.12238935010153801</v>
      </c>
      <c r="AK18" s="34">
        <f t="shared" si="14"/>
        <v>6</v>
      </c>
      <c r="AL18" s="34">
        <f t="shared" si="14"/>
        <v>2</v>
      </c>
      <c r="AM18" s="34">
        <f t="shared" si="14"/>
        <v>0</v>
      </c>
      <c r="AN18" s="34" t="e">
        <f t="shared" si="14"/>
        <v>#DIV/0!</v>
      </c>
      <c r="AO18" s="34">
        <f t="shared" si="14"/>
        <v>0.09582816666666666</v>
      </c>
      <c r="AP18" s="21">
        <v>14</v>
      </c>
      <c r="AQ18" s="23">
        <v>0.0639</v>
      </c>
      <c r="AR18" s="23">
        <v>0.1281</v>
      </c>
      <c r="AS18" s="23">
        <v>0.6938</v>
      </c>
      <c r="AT18" s="23">
        <v>1.7709</v>
      </c>
      <c r="AU18" s="23">
        <v>2.1604</v>
      </c>
    </row>
    <row r="19" spans="2:47" ht="13.5" thickBot="1">
      <c r="B19" s="284"/>
      <c r="C19" s="89"/>
      <c r="D19" s="89"/>
      <c r="E19" s="653" t="s">
        <v>241</v>
      </c>
      <c r="F19" s="493">
        <f>(F18/G11)</f>
        <v>0</v>
      </c>
      <c r="G19" s="493" t="e">
        <f>1/(F19)</f>
        <v>#DIV/0!</v>
      </c>
      <c r="H19" s="286" t="s">
        <v>151</v>
      </c>
      <c r="I19" s="177" t="e">
        <f>SQRT(C15)*F17</f>
        <v>#DIV/0!</v>
      </c>
      <c r="J19" s="8">
        <f t="shared" si="15"/>
        <v>46</v>
      </c>
      <c r="K19" s="58">
        <f t="shared" si="16"/>
        <v>0.044232586846469135</v>
      </c>
      <c r="L19" s="8">
        <f t="shared" si="17"/>
        <v>21.27743386243386</v>
      </c>
      <c r="M19" s="59">
        <f t="shared" si="18"/>
        <v>0.040539835481530576</v>
      </c>
      <c r="N19" s="24">
        <f t="shared" si="19"/>
        <v>318.55486772486773</v>
      </c>
      <c r="O19" s="8">
        <f t="shared" si="20"/>
        <v>46</v>
      </c>
      <c r="P19" s="8">
        <f t="shared" si="12"/>
        <v>3</v>
      </c>
      <c r="R19" s="52">
        <f t="shared" si="21"/>
        <v>0.07</v>
      </c>
      <c r="S19" s="3">
        <f t="shared" si="2"/>
        <v>203.7980002486645</v>
      </c>
      <c r="T19" s="3">
        <f t="shared" si="3"/>
        <v>26.966744960125304</v>
      </c>
      <c r="U19" s="3">
        <f t="shared" si="4"/>
        <v>24.977418388068976</v>
      </c>
      <c r="V19" s="3"/>
      <c r="W19" s="3" t="e">
        <f t="shared" si="5"/>
        <v>#DIV/0!</v>
      </c>
      <c r="X19" s="3" t="e">
        <f t="shared" si="6"/>
        <v>#DIV/0!</v>
      </c>
      <c r="Y19" s="3" t="e">
        <f t="shared" si="7"/>
        <v>#DIV/0!</v>
      </c>
      <c r="Z19" s="3"/>
      <c r="AA19" s="3">
        <f t="shared" si="8"/>
        <v>352.0218367346938</v>
      </c>
      <c r="AB19" s="3">
        <f t="shared" si="9"/>
        <v>117.34061224489794</v>
      </c>
      <c r="AC19" s="3">
        <f t="shared" si="10"/>
        <v>19.556768707482988</v>
      </c>
      <c r="AD19" s="3"/>
      <c r="AE19" s="34">
        <f t="shared" si="13"/>
        <v>0.0025</v>
      </c>
      <c r="AF19" s="34">
        <f t="shared" si="11"/>
        <v>0.004900000000000001</v>
      </c>
      <c r="AG19" s="34">
        <f t="shared" si="14"/>
        <v>0.9262303783790788</v>
      </c>
      <c r="AH19" s="34" t="e">
        <f t="shared" si="14"/>
        <v>#DIV/0!</v>
      </c>
      <c r="AI19" s="34">
        <f t="shared" si="14"/>
        <v>0.16666666666666666</v>
      </c>
      <c r="AJ19" s="34">
        <f t="shared" si="14"/>
        <v>0.12238935010153801</v>
      </c>
      <c r="AK19" s="34">
        <f t="shared" si="14"/>
        <v>6</v>
      </c>
      <c r="AL19" s="34">
        <f t="shared" si="14"/>
        <v>2</v>
      </c>
      <c r="AM19" s="34">
        <f t="shared" si="14"/>
        <v>0</v>
      </c>
      <c r="AN19" s="34" t="e">
        <f t="shared" si="14"/>
        <v>#DIV/0!</v>
      </c>
      <c r="AO19" s="34">
        <f t="shared" si="14"/>
        <v>0.09582816666666666</v>
      </c>
      <c r="AP19" s="21">
        <v>15</v>
      </c>
      <c r="AQ19" s="23">
        <v>0.0638</v>
      </c>
      <c r="AR19" s="23">
        <v>0.128</v>
      </c>
      <c r="AS19" s="23">
        <v>0.6924</v>
      </c>
      <c r="AT19" s="23">
        <v>1.7613</v>
      </c>
      <c r="AU19" s="23">
        <v>2.1448</v>
      </c>
    </row>
    <row r="20" spans="2:47" ht="13.5" thickBot="1">
      <c r="B20" s="488" t="s">
        <v>234</v>
      </c>
      <c r="C20" s="489" t="s">
        <v>123</v>
      </c>
      <c r="D20" s="489" t="s">
        <v>148</v>
      </c>
      <c r="E20" s="490" t="s">
        <v>152</v>
      </c>
      <c r="F20" s="489" t="s">
        <v>121</v>
      </c>
      <c r="G20" s="489" t="s">
        <v>124</v>
      </c>
      <c r="H20" s="489" t="s">
        <v>81</v>
      </c>
      <c r="I20" s="491" t="s">
        <v>138</v>
      </c>
      <c r="J20" s="8">
        <f t="shared" si="15"/>
        <v>49</v>
      </c>
      <c r="K20" s="58">
        <f t="shared" si="16"/>
        <v>0.04285714285714286</v>
      </c>
      <c r="L20" s="8">
        <f t="shared" si="17"/>
        <v>19.83195601851852</v>
      </c>
      <c r="M20" s="59">
        <f t="shared" si="18"/>
        <v>0.04199125273342591</v>
      </c>
      <c r="N20" s="24">
        <f t="shared" si="19"/>
        <v>333.66391203703705</v>
      </c>
      <c r="O20" s="8">
        <f t="shared" si="20"/>
        <v>49</v>
      </c>
      <c r="P20" s="8">
        <f t="shared" si="12"/>
        <v>3</v>
      </c>
      <c r="R20" s="52">
        <f t="shared" si="21"/>
        <v>0.07250000000000001</v>
      </c>
      <c r="S20" s="3">
        <f t="shared" si="2"/>
        <v>189.98529392978944</v>
      </c>
      <c r="T20" s="3">
        <f t="shared" si="3"/>
        <v>25.13903454071134</v>
      </c>
      <c r="U20" s="3">
        <f t="shared" si="4"/>
        <v>23.284537474727795</v>
      </c>
      <c r="V20" s="3"/>
      <c r="W20" s="3" t="e">
        <f t="shared" si="5"/>
        <v>#DIV/0!</v>
      </c>
      <c r="X20" s="3" t="e">
        <f t="shared" si="6"/>
        <v>#DIV/0!</v>
      </c>
      <c r="Y20" s="3" t="e">
        <f t="shared" si="7"/>
        <v>#DIV/0!</v>
      </c>
      <c r="Z20" s="3"/>
      <c r="AA20" s="3">
        <f t="shared" si="8"/>
        <v>328.16304399524364</v>
      </c>
      <c r="AB20" s="3">
        <f t="shared" si="9"/>
        <v>109.38768133174788</v>
      </c>
      <c r="AC20" s="3">
        <f t="shared" si="10"/>
        <v>18.23128022195798</v>
      </c>
      <c r="AD20" s="3"/>
      <c r="AE20" s="34">
        <f t="shared" si="13"/>
        <v>0.0025</v>
      </c>
      <c r="AF20" s="34">
        <f t="shared" si="11"/>
        <v>0.005256250000000001</v>
      </c>
      <c r="AG20" s="34">
        <f t="shared" si="14"/>
        <v>0.9262303783790788</v>
      </c>
      <c r="AH20" s="34" t="e">
        <f t="shared" si="14"/>
        <v>#DIV/0!</v>
      </c>
      <c r="AI20" s="34">
        <f t="shared" si="14"/>
        <v>0.16666666666666666</v>
      </c>
      <c r="AJ20" s="34">
        <f t="shared" si="14"/>
        <v>0.12238935010153801</v>
      </c>
      <c r="AK20" s="34">
        <f t="shared" si="14"/>
        <v>6</v>
      </c>
      <c r="AL20" s="34">
        <f t="shared" si="14"/>
        <v>2</v>
      </c>
      <c r="AM20" s="34">
        <f t="shared" si="14"/>
        <v>0</v>
      </c>
      <c r="AN20" s="34" t="e">
        <f t="shared" si="14"/>
        <v>#DIV/0!</v>
      </c>
      <c r="AO20" s="34">
        <f t="shared" si="14"/>
        <v>0.09582816666666666</v>
      </c>
      <c r="AP20" s="21">
        <v>16</v>
      </c>
      <c r="AQ20" s="23">
        <v>0.0638</v>
      </c>
      <c r="AR20" s="23">
        <v>0.1278</v>
      </c>
      <c r="AS20" s="23">
        <v>0.6912</v>
      </c>
      <c r="AT20" s="23">
        <v>1.7531</v>
      </c>
      <c r="AU20" s="23">
        <v>2.1314</v>
      </c>
    </row>
    <row r="21" spans="2:47" ht="13.5" thickTop="1">
      <c r="B21" s="245"/>
      <c r="C21" s="246" t="s">
        <v>147</v>
      </c>
      <c r="D21" s="246" t="s">
        <v>149</v>
      </c>
      <c r="E21" s="246" t="s">
        <v>231</v>
      </c>
      <c r="F21" s="655" t="s">
        <v>232</v>
      </c>
      <c r="G21" s="656"/>
      <c r="H21" s="657" t="s">
        <v>233</v>
      </c>
      <c r="I21" s="658"/>
      <c r="J21" s="8">
        <f t="shared" si="15"/>
        <v>52</v>
      </c>
      <c r="K21" s="58">
        <f t="shared" si="16"/>
        <v>0.041602514716892185</v>
      </c>
      <c r="L21" s="8">
        <f t="shared" si="17"/>
        <v>18.70769547325103</v>
      </c>
      <c r="M21" s="59">
        <f t="shared" si="18"/>
        <v>0.043234601527373524</v>
      </c>
      <c r="N21" s="24">
        <f t="shared" si="19"/>
        <v>349.41539094650204</v>
      </c>
      <c r="O21" s="8">
        <f t="shared" si="20"/>
        <v>52</v>
      </c>
      <c r="P21" s="8">
        <f t="shared" si="12"/>
        <v>3</v>
      </c>
      <c r="R21" s="52">
        <f t="shared" si="21"/>
        <v>0.07500000000000001</v>
      </c>
      <c r="S21" s="3">
        <f t="shared" si="2"/>
        <v>177.53070243883656</v>
      </c>
      <c r="T21" s="3">
        <f t="shared" si="3"/>
        <v>23.491031165264705</v>
      </c>
      <c r="U21" s="3">
        <f t="shared" si="4"/>
        <v>21.75810668471786</v>
      </c>
      <c r="V21" s="3"/>
      <c r="W21" s="3" t="e">
        <f t="shared" si="5"/>
        <v>#DIV/0!</v>
      </c>
      <c r="X21" s="3" t="e">
        <f t="shared" si="6"/>
        <v>#DIV/0!</v>
      </c>
      <c r="Y21" s="3" t="e">
        <f t="shared" si="7"/>
        <v>#DIV/0!</v>
      </c>
      <c r="Z21" s="3"/>
      <c r="AA21" s="3">
        <f t="shared" si="8"/>
        <v>306.65013333333326</v>
      </c>
      <c r="AB21" s="3">
        <f t="shared" si="9"/>
        <v>102.21671111111108</v>
      </c>
      <c r="AC21" s="3">
        <f t="shared" si="10"/>
        <v>17.036118518518514</v>
      </c>
      <c r="AD21" s="3"/>
      <c r="AE21" s="34">
        <f t="shared" si="13"/>
        <v>0.0025</v>
      </c>
      <c r="AF21" s="34">
        <f t="shared" si="11"/>
        <v>0.0056250000000000015</v>
      </c>
      <c r="AG21" s="34">
        <f aca="true" t="shared" si="22" ref="AG21:AO27">AG20</f>
        <v>0.9262303783790788</v>
      </c>
      <c r="AH21" s="34" t="e">
        <f t="shared" si="22"/>
        <v>#DIV/0!</v>
      </c>
      <c r="AI21" s="34">
        <f t="shared" si="22"/>
        <v>0.16666666666666666</v>
      </c>
      <c r="AJ21" s="34">
        <f t="shared" si="22"/>
        <v>0.12238935010153801</v>
      </c>
      <c r="AK21" s="34">
        <f t="shared" si="22"/>
        <v>6</v>
      </c>
      <c r="AL21" s="34">
        <f t="shared" si="22"/>
        <v>2</v>
      </c>
      <c r="AM21" s="34">
        <f t="shared" si="22"/>
        <v>0</v>
      </c>
      <c r="AN21" s="34" t="e">
        <f t="shared" si="22"/>
        <v>#DIV/0!</v>
      </c>
      <c r="AO21" s="34">
        <f t="shared" si="22"/>
        <v>0.09582816666666666</v>
      </c>
      <c r="AP21" s="21">
        <v>17</v>
      </c>
      <c r="AQ21" s="23">
        <v>0.0637</v>
      </c>
      <c r="AR21" s="23">
        <v>0.1277</v>
      </c>
      <c r="AS21" s="23">
        <v>0.6901</v>
      </c>
      <c r="AT21" s="23">
        <v>1.7459</v>
      </c>
      <c r="AU21" s="23">
        <v>2.1199</v>
      </c>
    </row>
    <row r="22" spans="1:47" ht="15.75" customHeight="1" thickBot="1">
      <c r="A22" s="686">
        <v>3</v>
      </c>
      <c r="B22" s="659" t="s">
        <v>105</v>
      </c>
      <c r="C22" s="660"/>
      <c r="D22" s="660"/>
      <c r="E22" s="660"/>
      <c r="F22" s="660"/>
      <c r="G22" s="660"/>
      <c r="H22" s="661">
        <f>D9</f>
        <v>0.06</v>
      </c>
      <c r="I22" s="662"/>
      <c r="J22" s="8">
        <f t="shared" si="15"/>
        <v>55</v>
      </c>
      <c r="K22" s="58">
        <f t="shared" si="16"/>
        <v>0.04045199174779452</v>
      </c>
      <c r="L22" s="8">
        <f t="shared" si="17"/>
        <v>17.808287037037033</v>
      </c>
      <c r="M22" s="59">
        <f t="shared" si="18"/>
        <v>0.04431293675255979</v>
      </c>
      <c r="N22" s="24">
        <f t="shared" si="19"/>
        <v>365.61657407407404</v>
      </c>
      <c r="O22" s="8">
        <f t="shared" si="20"/>
        <v>55</v>
      </c>
      <c r="P22" s="8">
        <f t="shared" si="12"/>
        <v>3</v>
      </c>
      <c r="R22" s="52">
        <f t="shared" si="21"/>
        <v>0.07750000000000001</v>
      </c>
      <c r="S22" s="3">
        <f t="shared" si="2"/>
        <v>166.2618441154557</v>
      </c>
      <c r="T22" s="3">
        <f t="shared" si="3"/>
        <v>21.99992512875987</v>
      </c>
      <c r="U22" s="3">
        <f t="shared" si="4"/>
        <v>20.37699897632266</v>
      </c>
      <c r="V22" s="3"/>
      <c r="W22" s="3" t="e">
        <f t="shared" si="5"/>
        <v>#DIV/0!</v>
      </c>
      <c r="X22" s="3" t="e">
        <f t="shared" si="6"/>
        <v>#DIV/0!</v>
      </c>
      <c r="Y22" s="3" t="e">
        <f t="shared" si="7"/>
        <v>#DIV/0!</v>
      </c>
      <c r="Z22" s="3"/>
      <c r="AA22" s="3">
        <f t="shared" si="8"/>
        <v>287.1853485952132</v>
      </c>
      <c r="AB22" s="3">
        <f t="shared" si="9"/>
        <v>95.72844953173774</v>
      </c>
      <c r="AC22" s="3">
        <f t="shared" si="10"/>
        <v>15.954741588622955</v>
      </c>
      <c r="AD22" s="3"/>
      <c r="AE22" s="34">
        <f t="shared" si="13"/>
        <v>0.0025</v>
      </c>
      <c r="AF22" s="34">
        <f t="shared" si="11"/>
        <v>0.006006250000000002</v>
      </c>
      <c r="AG22" s="34">
        <f t="shared" si="22"/>
        <v>0.9262303783790788</v>
      </c>
      <c r="AH22" s="34" t="e">
        <f t="shared" si="22"/>
        <v>#DIV/0!</v>
      </c>
      <c r="AI22" s="34">
        <f t="shared" si="22"/>
        <v>0.16666666666666666</v>
      </c>
      <c r="AJ22" s="34">
        <f t="shared" si="22"/>
        <v>0.12238935010153801</v>
      </c>
      <c r="AK22" s="34">
        <f t="shared" si="22"/>
        <v>6</v>
      </c>
      <c r="AL22" s="34">
        <f t="shared" si="22"/>
        <v>2</v>
      </c>
      <c r="AM22" s="34">
        <f t="shared" si="22"/>
        <v>0</v>
      </c>
      <c r="AN22" s="34" t="e">
        <f t="shared" si="22"/>
        <v>#DIV/0!</v>
      </c>
      <c r="AO22" s="34">
        <f t="shared" si="22"/>
        <v>0.09582816666666666</v>
      </c>
      <c r="AP22" s="21">
        <v>18</v>
      </c>
      <c r="AQ22" s="23">
        <v>0.0636</v>
      </c>
      <c r="AR22" s="23">
        <v>0.1276</v>
      </c>
      <c r="AS22" s="23">
        <v>0.6892</v>
      </c>
      <c r="AT22" s="23">
        <v>1.7396</v>
      </c>
      <c r="AU22" s="23">
        <v>2.1098</v>
      </c>
    </row>
    <row r="23" spans="2:47" ht="13.5" thickBot="1">
      <c r="B23" s="663" t="s">
        <v>3</v>
      </c>
      <c r="C23" s="259" t="s">
        <v>101</v>
      </c>
      <c r="D23" s="259" t="s">
        <v>61</v>
      </c>
      <c r="E23" s="259"/>
      <c r="F23" s="260" t="s">
        <v>62</v>
      </c>
      <c r="G23" s="259"/>
      <c r="H23" s="259" t="s">
        <v>55</v>
      </c>
      <c r="I23" s="664">
        <f>I15</f>
        <v>6</v>
      </c>
      <c r="J23" s="8">
        <f t="shared" si="15"/>
        <v>58</v>
      </c>
      <c r="K23" s="58">
        <f t="shared" si="16"/>
        <v>0.039391929857916765</v>
      </c>
      <c r="L23" s="8">
        <f t="shared" si="17"/>
        <v>17.072407407407404</v>
      </c>
      <c r="M23" s="59">
        <f t="shared" si="18"/>
        <v>0.04525788176736695</v>
      </c>
      <c r="N23" s="24">
        <f t="shared" si="19"/>
        <v>382.1448148148148</v>
      </c>
      <c r="O23" s="8">
        <f t="shared" si="20"/>
        <v>58</v>
      </c>
      <c r="P23" s="8">
        <f t="shared" si="12"/>
        <v>3</v>
      </c>
      <c r="R23" s="52">
        <f t="shared" si="21"/>
        <v>0.08000000000000002</v>
      </c>
      <c r="S23" s="3">
        <f t="shared" si="2"/>
        <v>156.03284394038369</v>
      </c>
      <c r="T23" s="3">
        <f t="shared" si="3"/>
        <v>20.64641411009593</v>
      </c>
      <c r="U23" s="3">
        <f t="shared" si="4"/>
        <v>19.123335953365306</v>
      </c>
      <c r="V23" s="3"/>
      <c r="W23" s="3" t="e">
        <f t="shared" si="5"/>
        <v>#DIV/0!</v>
      </c>
      <c r="X23" s="3" t="e">
        <f t="shared" si="6"/>
        <v>#DIV/0!</v>
      </c>
      <c r="Y23" s="3" t="e">
        <f t="shared" si="7"/>
        <v>#DIV/0!</v>
      </c>
      <c r="Z23" s="3"/>
      <c r="AA23" s="3">
        <f t="shared" si="8"/>
        <v>269.5167187499999</v>
      </c>
      <c r="AB23" s="3">
        <f t="shared" si="9"/>
        <v>89.83890624999995</v>
      </c>
      <c r="AC23" s="3">
        <f t="shared" si="10"/>
        <v>14.973151041666657</v>
      </c>
      <c r="AD23" s="3"/>
      <c r="AE23" s="34">
        <f t="shared" si="13"/>
        <v>0.0025</v>
      </c>
      <c r="AF23" s="34">
        <f t="shared" si="11"/>
        <v>0.006400000000000003</v>
      </c>
      <c r="AG23" s="34">
        <f t="shared" si="22"/>
        <v>0.9262303783790788</v>
      </c>
      <c r="AH23" s="34" t="e">
        <f t="shared" si="22"/>
        <v>#DIV/0!</v>
      </c>
      <c r="AI23" s="34">
        <f t="shared" si="22"/>
        <v>0.16666666666666666</v>
      </c>
      <c r="AJ23" s="34">
        <f t="shared" si="22"/>
        <v>0.12238935010153801</v>
      </c>
      <c r="AK23" s="34">
        <f t="shared" si="22"/>
        <v>6</v>
      </c>
      <c r="AL23" s="34">
        <f t="shared" si="22"/>
        <v>2</v>
      </c>
      <c r="AM23" s="34">
        <f t="shared" si="22"/>
        <v>0</v>
      </c>
      <c r="AN23" s="34" t="e">
        <f t="shared" si="22"/>
        <v>#DIV/0!</v>
      </c>
      <c r="AO23" s="34">
        <f t="shared" si="22"/>
        <v>0.09582816666666666</v>
      </c>
      <c r="AP23" s="21">
        <v>19</v>
      </c>
      <c r="AQ23" s="23">
        <v>0.0636</v>
      </c>
      <c r="AR23" s="23">
        <v>0.1274</v>
      </c>
      <c r="AS23" s="23">
        <v>0.6884</v>
      </c>
      <c r="AT23" s="23">
        <v>1.7341</v>
      </c>
      <c r="AU23" s="23">
        <v>2.1009</v>
      </c>
    </row>
    <row r="24" spans="2:47" ht="13.5" thickBot="1">
      <c r="B24" s="663" t="s">
        <v>102</v>
      </c>
      <c r="C24" s="178">
        <f>(C25*F24)</f>
        <v>26.618935185185183</v>
      </c>
      <c r="D24" s="179">
        <f>(C3/SQRT(C24))</f>
        <v>0.0581468128792342</v>
      </c>
      <c r="E24" s="264" t="s">
        <v>9</v>
      </c>
      <c r="F24" s="180">
        <f>1/(I23)</f>
        <v>0.16666666666666666</v>
      </c>
      <c r="G24" s="259" t="s">
        <v>63</v>
      </c>
      <c r="H24" s="259"/>
      <c r="I24" s="665"/>
      <c r="J24" s="8">
        <f t="shared" si="15"/>
        <v>61</v>
      </c>
      <c r="K24" s="58">
        <f t="shared" si="16"/>
        <v>0.03841106397986879</v>
      </c>
      <c r="L24" s="8">
        <f t="shared" si="17"/>
        <v>16.45917438271605</v>
      </c>
      <c r="M24" s="59">
        <f t="shared" si="18"/>
        <v>0.046093276775842545</v>
      </c>
      <c r="N24" s="24">
        <f t="shared" si="19"/>
        <v>398.9183487654321</v>
      </c>
      <c r="O24" s="8">
        <f t="shared" si="20"/>
        <v>61</v>
      </c>
      <c r="P24" s="8">
        <f t="shared" si="12"/>
        <v>3</v>
      </c>
      <c r="R24" s="52">
        <f t="shared" si="21"/>
        <v>0.08250000000000002</v>
      </c>
      <c r="S24" s="3">
        <f t="shared" si="2"/>
        <v>146.7195887924269</v>
      </c>
      <c r="T24" s="3">
        <f t="shared" si="3"/>
        <v>19.414075343193968</v>
      </c>
      <c r="U24" s="3">
        <f t="shared" si="4"/>
        <v>17.981906351006494</v>
      </c>
      <c r="V24" s="3"/>
      <c r="W24" s="3" t="e">
        <f t="shared" si="5"/>
        <v>#DIV/0!</v>
      </c>
      <c r="X24" s="3" t="e">
        <f t="shared" si="6"/>
        <v>#DIV/0!</v>
      </c>
      <c r="Y24" s="3" t="e">
        <f t="shared" si="7"/>
        <v>#DIV/0!</v>
      </c>
      <c r="Z24" s="3"/>
      <c r="AA24" s="3">
        <f t="shared" si="8"/>
        <v>253.42986225895302</v>
      </c>
      <c r="AB24" s="3">
        <f t="shared" si="9"/>
        <v>84.47662075298435</v>
      </c>
      <c r="AC24" s="3">
        <f t="shared" si="10"/>
        <v>14.079436792164056</v>
      </c>
      <c r="AD24" s="3"/>
      <c r="AE24" s="34">
        <f t="shared" si="13"/>
        <v>0.0025</v>
      </c>
      <c r="AF24" s="34">
        <f t="shared" si="11"/>
        <v>0.006806250000000003</v>
      </c>
      <c r="AG24" s="34">
        <f t="shared" si="22"/>
        <v>0.9262303783790788</v>
      </c>
      <c r="AH24" s="34" t="e">
        <f t="shared" si="22"/>
        <v>#DIV/0!</v>
      </c>
      <c r="AI24" s="34">
        <f t="shared" si="22"/>
        <v>0.16666666666666666</v>
      </c>
      <c r="AJ24" s="34">
        <f t="shared" si="22"/>
        <v>0.12238935010153801</v>
      </c>
      <c r="AK24" s="34">
        <f t="shared" si="22"/>
        <v>6</v>
      </c>
      <c r="AL24" s="34">
        <f t="shared" si="22"/>
        <v>2</v>
      </c>
      <c r="AM24" s="34">
        <f t="shared" si="22"/>
        <v>0</v>
      </c>
      <c r="AN24" s="34" t="e">
        <f t="shared" si="22"/>
        <v>#DIV/0!</v>
      </c>
      <c r="AO24" s="34">
        <f t="shared" si="22"/>
        <v>0.09582816666666666</v>
      </c>
      <c r="AP24" s="21">
        <v>20</v>
      </c>
      <c r="AQ24" s="23">
        <v>0.0635</v>
      </c>
      <c r="AR24" s="23">
        <v>0.1274</v>
      </c>
      <c r="AS24" s="23">
        <v>0.6876</v>
      </c>
      <c r="AT24" s="23">
        <v>1.7291</v>
      </c>
      <c r="AU24" s="23">
        <v>2.093</v>
      </c>
    </row>
    <row r="25" spans="2:47" ht="14.25" thickBot="1" thickTop="1">
      <c r="B25" s="663" t="s">
        <v>103</v>
      </c>
      <c r="C25" s="181">
        <f>((C3*C3)+(C5*C5*F24))/(D9*D9*F24)</f>
        <v>159.7136111111111</v>
      </c>
      <c r="D25" s="179">
        <f>(C5/SQRT(C25))</f>
        <v>0.014796896701245317</v>
      </c>
      <c r="E25" s="265" t="s">
        <v>13</v>
      </c>
      <c r="F25" s="260" t="s">
        <v>3</v>
      </c>
      <c r="G25" s="260" t="s">
        <v>3</v>
      </c>
      <c r="H25" s="260" t="s">
        <v>3</v>
      </c>
      <c r="I25" s="665"/>
      <c r="J25" s="10" t="s">
        <v>3</v>
      </c>
      <c r="K25" s="10" t="s">
        <v>3</v>
      </c>
      <c r="L25" s="40" t="s">
        <v>88</v>
      </c>
      <c r="M25" s="494">
        <f>C11*E3+C12*E5</f>
        <v>277.39172256068224</v>
      </c>
      <c r="N25" s="10" t="s">
        <v>3</v>
      </c>
      <c r="O25" s="10" t="s">
        <v>3</v>
      </c>
      <c r="R25" s="52">
        <f t="shared" si="21"/>
        <v>0.08500000000000002</v>
      </c>
      <c r="S25" s="3">
        <f t="shared" si="2"/>
        <v>138.2159448053226</v>
      </c>
      <c r="T25" s="3">
        <f t="shared" si="3"/>
        <v>18.288865094064217</v>
      </c>
      <c r="U25" s="3">
        <f t="shared" si="4"/>
        <v>16.939702436199028</v>
      </c>
      <c r="V25" s="3"/>
      <c r="W25" s="3" t="e">
        <f t="shared" si="5"/>
        <v>#DIV/0!</v>
      </c>
      <c r="X25" s="3" t="e">
        <f t="shared" si="6"/>
        <v>#DIV/0!</v>
      </c>
      <c r="Y25" s="3" t="e">
        <f t="shared" si="7"/>
        <v>#DIV/0!</v>
      </c>
      <c r="Z25" s="3"/>
      <c r="AA25" s="3">
        <f t="shared" si="8"/>
        <v>238.74145328719712</v>
      </c>
      <c r="AB25" s="3">
        <f t="shared" si="9"/>
        <v>79.5804844290657</v>
      </c>
      <c r="AC25" s="3">
        <f t="shared" si="10"/>
        <v>13.263414071510951</v>
      </c>
      <c r="AD25" s="3"/>
      <c r="AE25" s="34">
        <f t="shared" si="13"/>
        <v>0.0025</v>
      </c>
      <c r="AF25" s="34">
        <f t="shared" si="11"/>
        <v>0.007225000000000003</v>
      </c>
      <c r="AG25" s="34">
        <f t="shared" si="22"/>
        <v>0.9262303783790788</v>
      </c>
      <c r="AH25" s="34" t="e">
        <f t="shared" si="22"/>
        <v>#DIV/0!</v>
      </c>
      <c r="AI25" s="34">
        <f t="shared" si="22"/>
        <v>0.16666666666666666</v>
      </c>
      <c r="AJ25" s="34">
        <f t="shared" si="22"/>
        <v>0.12238935010153801</v>
      </c>
      <c r="AK25" s="34">
        <f t="shared" si="22"/>
        <v>6</v>
      </c>
      <c r="AL25" s="34">
        <f t="shared" si="22"/>
        <v>2</v>
      </c>
      <c r="AM25" s="34">
        <f t="shared" si="22"/>
        <v>0</v>
      </c>
      <c r="AN25" s="34" t="e">
        <f t="shared" si="22"/>
        <v>#DIV/0!</v>
      </c>
      <c r="AO25" s="34">
        <f t="shared" si="22"/>
        <v>0.09582816666666666</v>
      </c>
      <c r="AP25" s="21">
        <v>21</v>
      </c>
      <c r="AQ25" s="23">
        <v>0.0635</v>
      </c>
      <c r="AR25" s="23">
        <v>0.1273</v>
      </c>
      <c r="AS25" s="23">
        <v>0.687</v>
      </c>
      <c r="AT25" s="23">
        <v>1.7247</v>
      </c>
      <c r="AU25" s="23">
        <v>2.086</v>
      </c>
    </row>
    <row r="26" spans="2:47" ht="13.5" thickBot="1">
      <c r="B26" s="663" t="s">
        <v>3</v>
      </c>
      <c r="C26" s="263" t="s">
        <v>3</v>
      </c>
      <c r="D26" s="644">
        <f>SQRT((D24*D24)+(D25*D25))</f>
        <v>0.060000000000000005</v>
      </c>
      <c r="E26" s="266" t="s">
        <v>59</v>
      </c>
      <c r="F26" s="260" t="s">
        <v>3</v>
      </c>
      <c r="G26" s="261"/>
      <c r="H26" s="262" t="s">
        <v>109</v>
      </c>
      <c r="I26" s="666">
        <f>(C27/C24)</f>
        <v>18</v>
      </c>
      <c r="J26" s="10" t="s">
        <v>3</v>
      </c>
      <c r="L26" s="40" t="s">
        <v>89</v>
      </c>
      <c r="M26" s="495" t="e">
        <f>D15*E3+D16*E5</f>
        <v>#DIV/0!</v>
      </c>
      <c r="N26" s="51"/>
      <c r="O26" s="51"/>
      <c r="P26" s="51"/>
      <c r="R26" s="52">
        <f t="shared" si="21"/>
        <v>0.08750000000000002</v>
      </c>
      <c r="S26" s="3">
        <f t="shared" si="2"/>
        <v>130.4307201591452</v>
      </c>
      <c r="T26" s="3">
        <f t="shared" si="3"/>
        <v>17.258716774480188</v>
      </c>
      <c r="U26" s="3">
        <f t="shared" si="4"/>
        <v>15.98554776836414</v>
      </c>
      <c r="V26" s="3"/>
      <c r="W26" s="3" t="e">
        <f t="shared" si="5"/>
        <v>#DIV/0!</v>
      </c>
      <c r="X26" s="3" t="e">
        <f t="shared" si="6"/>
        <v>#DIV/0!</v>
      </c>
      <c r="Y26" s="3" t="e">
        <f t="shared" si="7"/>
        <v>#DIV/0!</v>
      </c>
      <c r="Z26" s="3"/>
      <c r="AA26" s="3">
        <f t="shared" si="8"/>
        <v>225.29397551020395</v>
      </c>
      <c r="AB26" s="3">
        <f t="shared" si="9"/>
        <v>75.09799183673465</v>
      </c>
      <c r="AC26" s="3">
        <f t="shared" si="10"/>
        <v>12.516331972789107</v>
      </c>
      <c r="AD26" s="3"/>
      <c r="AE26" s="34">
        <f t="shared" si="13"/>
        <v>0.0025</v>
      </c>
      <c r="AF26" s="34">
        <f t="shared" si="11"/>
        <v>0.007656250000000004</v>
      </c>
      <c r="AG26" s="34">
        <f t="shared" si="22"/>
        <v>0.9262303783790788</v>
      </c>
      <c r="AH26" s="34" t="e">
        <f t="shared" si="22"/>
        <v>#DIV/0!</v>
      </c>
      <c r="AI26" s="34">
        <f t="shared" si="22"/>
        <v>0.16666666666666666</v>
      </c>
      <c r="AJ26" s="34">
        <f t="shared" si="22"/>
        <v>0.12238935010153801</v>
      </c>
      <c r="AK26" s="34">
        <f t="shared" si="22"/>
        <v>6</v>
      </c>
      <c r="AL26" s="34">
        <f t="shared" si="22"/>
        <v>2</v>
      </c>
      <c r="AM26" s="34">
        <f t="shared" si="22"/>
        <v>0</v>
      </c>
      <c r="AN26" s="34" t="e">
        <f t="shared" si="22"/>
        <v>#DIV/0!</v>
      </c>
      <c r="AO26" s="34">
        <f t="shared" si="22"/>
        <v>0.09582816666666666</v>
      </c>
      <c r="AP26" s="21">
        <v>22</v>
      </c>
      <c r="AQ26" s="23">
        <v>0.0635</v>
      </c>
      <c r="AR26" s="23">
        <v>0.1272</v>
      </c>
      <c r="AS26" s="23">
        <v>0.6864</v>
      </c>
      <c r="AT26" s="23">
        <v>1.7207</v>
      </c>
      <c r="AU26" s="23">
        <v>2.0796</v>
      </c>
    </row>
    <row r="27" spans="2:47" ht="12.75">
      <c r="B27" s="667" t="s">
        <v>104</v>
      </c>
      <c r="C27" s="668">
        <f>(C24*E3)+(C25*E5)+H3+H4+H5</f>
        <v>479.1408333333333</v>
      </c>
      <c r="D27" s="669" t="s">
        <v>3</v>
      </c>
      <c r="E27" s="670" t="s">
        <v>64</v>
      </c>
      <c r="F27" s="671">
        <f>(C27/G11)</f>
        <v>1.727307610011746</v>
      </c>
      <c r="G27" s="669"/>
      <c r="H27" s="672" t="s">
        <v>100</v>
      </c>
      <c r="I27" s="673">
        <f>(G11/C27)</f>
        <v>0.5789356766587741</v>
      </c>
      <c r="J27" s="10" t="s">
        <v>3</v>
      </c>
      <c r="K27" s="10" t="s">
        <v>3</v>
      </c>
      <c r="L27" s="40" t="s">
        <v>90</v>
      </c>
      <c r="M27" s="496" t="e">
        <f>(M25/M26)</f>
        <v>#DIV/0!</v>
      </c>
      <c r="N27" s="51"/>
      <c r="O27" s="51"/>
      <c r="P27" s="51"/>
      <c r="R27" s="52">
        <f>R26+AE27</f>
        <v>0.09000000000000002</v>
      </c>
      <c r="S27" s="3">
        <f t="shared" si="2"/>
        <v>123.28521002696982</v>
      </c>
      <c r="T27" s="3">
        <f t="shared" si="3"/>
        <v>16.313216086989375</v>
      </c>
      <c r="U27" s="3">
        <f t="shared" si="4"/>
        <v>15.109796308831845</v>
      </c>
      <c r="V27" s="3"/>
      <c r="W27" s="3" t="e">
        <f t="shared" si="5"/>
        <v>#DIV/0!</v>
      </c>
      <c r="X27" s="3" t="e">
        <f t="shared" si="6"/>
        <v>#DIV/0!</v>
      </c>
      <c r="Y27" s="3" t="e">
        <f t="shared" si="7"/>
        <v>#DIV/0!</v>
      </c>
      <c r="Z27" s="3"/>
      <c r="AA27" s="3">
        <f t="shared" si="8"/>
        <v>212.95148148148138</v>
      </c>
      <c r="AB27" s="3">
        <f t="shared" si="9"/>
        <v>70.98382716049379</v>
      </c>
      <c r="AC27" s="3">
        <f t="shared" si="10"/>
        <v>11.830637860082298</v>
      </c>
      <c r="AD27" s="3"/>
      <c r="AE27" s="34">
        <f t="shared" si="13"/>
        <v>0.0025</v>
      </c>
      <c r="AF27" s="34">
        <f t="shared" si="11"/>
        <v>0.008100000000000005</v>
      </c>
      <c r="AG27" s="34">
        <f t="shared" si="22"/>
        <v>0.9262303783790788</v>
      </c>
      <c r="AH27" s="34" t="e">
        <f t="shared" si="22"/>
        <v>#DIV/0!</v>
      </c>
      <c r="AI27" s="34">
        <f t="shared" si="22"/>
        <v>0.16666666666666666</v>
      </c>
      <c r="AJ27" s="34">
        <f t="shared" si="22"/>
        <v>0.12238935010153801</v>
      </c>
      <c r="AK27" s="34">
        <f t="shared" si="22"/>
        <v>6</v>
      </c>
      <c r="AL27" s="34">
        <f t="shared" si="22"/>
        <v>2</v>
      </c>
      <c r="AM27" s="34">
        <f t="shared" si="22"/>
        <v>0</v>
      </c>
      <c r="AN27" s="34" t="e">
        <f t="shared" si="22"/>
        <v>#DIV/0!</v>
      </c>
      <c r="AO27" s="34">
        <f t="shared" si="22"/>
        <v>0.09582816666666666</v>
      </c>
      <c r="AP27" s="21">
        <v>23</v>
      </c>
      <c r="AQ27" s="23">
        <v>0.0634</v>
      </c>
      <c r="AR27" s="23">
        <v>0.1271</v>
      </c>
      <c r="AS27" s="23">
        <v>0.6858</v>
      </c>
      <c r="AT27" s="23">
        <v>1.7171</v>
      </c>
      <c r="AU27" s="23">
        <v>2.0739</v>
      </c>
    </row>
    <row r="28" spans="2:47" ht="13.5" thickBot="1">
      <c r="B28" s="10" t="s">
        <v>3</v>
      </c>
      <c r="D28" s="11" t="s">
        <v>3</v>
      </c>
      <c r="F28" s="10" t="s">
        <v>3</v>
      </c>
      <c r="H28" s="10" t="s">
        <v>3</v>
      </c>
      <c r="I28" s="10" t="s">
        <v>3</v>
      </c>
      <c r="J28" s="10" t="s">
        <v>3</v>
      </c>
      <c r="K28" s="10" t="s">
        <v>3</v>
      </c>
      <c r="L28" s="40" t="s">
        <v>91</v>
      </c>
      <c r="M28" s="496" t="e">
        <f>G11/G92</f>
        <v>#DIV/0!</v>
      </c>
      <c r="N28" s="51"/>
      <c r="O28" s="51"/>
      <c r="P28" s="51"/>
      <c r="R28" s="3" t="s">
        <v>65</v>
      </c>
      <c r="S28" s="3" t="s">
        <v>65</v>
      </c>
      <c r="T28" s="3" t="s">
        <v>65</v>
      </c>
      <c r="U28" s="3" t="s">
        <v>65</v>
      </c>
      <c r="V28" s="3" t="s">
        <v>65</v>
      </c>
      <c r="W28" s="3" t="s">
        <v>65</v>
      </c>
      <c r="X28" s="3" t="s">
        <v>65</v>
      </c>
      <c r="Y28" s="3" t="s">
        <v>65</v>
      </c>
      <c r="Z28" s="3" t="s">
        <v>65</v>
      </c>
      <c r="AA28" s="3" t="s">
        <v>65</v>
      </c>
      <c r="AB28" s="3" t="s">
        <v>65</v>
      </c>
      <c r="AC28" s="3" t="s">
        <v>65</v>
      </c>
      <c r="AD28" s="3" t="s">
        <v>65</v>
      </c>
      <c r="AE28" s="34" t="s">
        <v>65</v>
      </c>
      <c r="AF28" s="34"/>
      <c r="AG28" s="34"/>
      <c r="AH28" s="34"/>
      <c r="AI28" s="34"/>
      <c r="AJ28" s="34"/>
      <c r="AK28" s="34"/>
      <c r="AL28" s="34"/>
      <c r="AM28" s="34"/>
      <c r="AN28" s="34"/>
      <c r="AO28" s="34"/>
      <c r="AP28" s="21">
        <v>24</v>
      </c>
      <c r="AQ28" s="23">
        <v>0.0634</v>
      </c>
      <c r="AR28" s="23">
        <v>0.1271</v>
      </c>
      <c r="AS28" s="23">
        <v>0.6853</v>
      </c>
      <c r="AT28" s="23">
        <v>1.7139</v>
      </c>
      <c r="AU28" s="23">
        <v>2.0687</v>
      </c>
    </row>
    <row r="29" spans="1:47" ht="13.5" thickBot="1">
      <c r="A29" s="686">
        <v>4</v>
      </c>
      <c r="B29" s="223" t="s">
        <v>66</v>
      </c>
      <c r="C29" s="224"/>
      <c r="D29" s="224"/>
      <c r="E29" s="224"/>
      <c r="F29" s="225" t="s">
        <v>125</v>
      </c>
      <c r="G29" s="222"/>
      <c r="I29" s="232" t="s">
        <v>126</v>
      </c>
      <c r="J29" s="233"/>
      <c r="K29" s="674" t="s">
        <v>142</v>
      </c>
      <c r="L29" s="40" t="s">
        <v>35</v>
      </c>
      <c r="M29" s="497" t="e">
        <f>+F123</f>
        <v>#DIV/0!</v>
      </c>
      <c r="N29" s="51"/>
      <c r="O29" s="51"/>
      <c r="P29" s="51"/>
      <c r="R29" s="29" t="s">
        <v>67</v>
      </c>
      <c r="S29" s="12"/>
      <c r="T29" s="12"/>
      <c r="U29" s="12"/>
      <c r="V29" s="11"/>
      <c r="W29" s="11"/>
      <c r="X29" s="11"/>
      <c r="Y29" s="11"/>
      <c r="Z29" s="11"/>
      <c r="AA29" s="11"/>
      <c r="AB29" s="11"/>
      <c r="AC29" s="11"/>
      <c r="AD29" s="11"/>
      <c r="AE29" s="34"/>
      <c r="AF29" s="34"/>
      <c r="AG29" s="34"/>
      <c r="AH29" s="34"/>
      <c r="AI29" s="34"/>
      <c r="AJ29" s="34"/>
      <c r="AK29" s="34"/>
      <c r="AL29" s="34"/>
      <c r="AM29" s="34"/>
      <c r="AN29" s="34"/>
      <c r="AO29" s="34"/>
      <c r="AP29" s="21">
        <v>25</v>
      </c>
      <c r="AQ29" s="23">
        <v>0.0634</v>
      </c>
      <c r="AR29" s="23">
        <v>0.127</v>
      </c>
      <c r="AS29" s="23">
        <v>0.6848</v>
      </c>
      <c r="AT29" s="23">
        <v>1.7109</v>
      </c>
      <c r="AU29" s="23">
        <v>2.0639</v>
      </c>
    </row>
    <row r="30" spans="2:47" ht="13.5" thickTop="1">
      <c r="B30" s="193" t="s">
        <v>202</v>
      </c>
      <c r="C30" s="226">
        <v>0.95</v>
      </c>
      <c r="D30" s="71" t="s">
        <v>68</v>
      </c>
      <c r="E30" s="227">
        <f>+D9</f>
        <v>0.06</v>
      </c>
      <c r="F30" s="48" t="s">
        <v>69</v>
      </c>
      <c r="G30" s="239" t="s">
        <v>127</v>
      </c>
      <c r="I30" s="234" t="s">
        <v>189</v>
      </c>
      <c r="J30" s="235">
        <f>E11</f>
        <v>0.05145181397622624</v>
      </c>
      <c r="K30" s="578">
        <f>C11</f>
        <v>33.99704169487167</v>
      </c>
      <c r="L30" s="51"/>
      <c r="M30" s="51"/>
      <c r="N30" s="51"/>
      <c r="O30" s="51"/>
      <c r="P30" s="51"/>
      <c r="R30" s="13" t="str">
        <f aca="true" t="shared" si="23" ref="R30:S45">R1</f>
        <v>Other SE%</v>
      </c>
      <c r="S30" s="14"/>
      <c r="T30" s="15" t="str">
        <f aca="true" t="shared" si="24" ref="T30:U45">T1</f>
        <v>Start @</v>
      </c>
      <c r="U30" s="28">
        <v>7</v>
      </c>
      <c r="W30" s="16" t="str">
        <f aca="true" t="shared" si="25" ref="W30:Y45">W1</f>
        <v>Increment</v>
      </c>
      <c r="X30" s="28">
        <f t="shared" si="25"/>
        <v>0.0025</v>
      </c>
      <c r="AP30" s="21">
        <v>26</v>
      </c>
      <c r="AQ30" s="23">
        <v>0.0633</v>
      </c>
      <c r="AR30" s="23">
        <v>0.1269</v>
      </c>
      <c r="AS30" s="23">
        <v>0.6844</v>
      </c>
      <c r="AT30" s="23">
        <v>1.7081</v>
      </c>
      <c r="AU30" s="23">
        <v>2.0595</v>
      </c>
    </row>
    <row r="31" spans="2:47" ht="13.5" thickBot="1">
      <c r="B31" s="193" t="s">
        <v>70</v>
      </c>
      <c r="C31" s="228">
        <v>123</v>
      </c>
      <c r="D31" s="71" t="s">
        <v>111</v>
      </c>
      <c r="E31" s="179">
        <f>IF(E30&gt;0,(E30*C32),"")</f>
        <v>0.11877599122607668</v>
      </c>
      <c r="F31" s="49">
        <v>0.05</v>
      </c>
      <c r="G31" s="229">
        <f>IF(E30&gt;0,TINV(0.95,$C$31-1)*E30,"")</f>
        <v>0.0037701548273500166</v>
      </c>
      <c r="I31" s="234" t="s">
        <v>190</v>
      </c>
      <c r="J31" s="235">
        <f>E12</f>
        <v>0.030866014296565887</v>
      </c>
      <c r="K31" s="579">
        <f>C12</f>
        <v>36.70473619572611</v>
      </c>
      <c r="L31" s="51"/>
      <c r="M31" s="51"/>
      <c r="N31" s="51"/>
      <c r="O31" s="51"/>
      <c r="P31" s="51"/>
      <c r="R31" s="17" t="str">
        <f t="shared" si="23"/>
        <v>Options</v>
      </c>
      <c r="S31" s="18"/>
      <c r="T31" s="9" t="str">
        <f t="shared" si="24"/>
        <v>Optimal</v>
      </c>
      <c r="U31" s="12"/>
      <c r="V31" s="19" t="str">
        <f>V2</f>
        <v> </v>
      </c>
      <c r="W31" s="695" t="str">
        <f t="shared" si="25"/>
        <v> </v>
      </c>
      <c r="X31" s="693" t="str">
        <f t="shared" si="25"/>
        <v>Other Options</v>
      </c>
      <c r="Y31" s="694"/>
      <c r="Z31" s="11"/>
      <c r="AB31" s="9" t="str">
        <f>AB2</f>
        <v>Full Measure</v>
      </c>
      <c r="AC31" s="11"/>
      <c r="AP31" s="21">
        <v>27</v>
      </c>
      <c r="AQ31" s="23">
        <v>0.0633</v>
      </c>
      <c r="AR31" s="23">
        <v>0.1269</v>
      </c>
      <c r="AS31" s="23">
        <v>0.684</v>
      </c>
      <c r="AT31" s="23">
        <v>1.7056</v>
      </c>
      <c r="AU31" s="23">
        <v>2.0555</v>
      </c>
    </row>
    <row r="32" spans="2:47" ht="13.5" thickBot="1">
      <c r="B32" s="193" t="s">
        <v>107</v>
      </c>
      <c r="C32" s="645">
        <f>TINV(1-C30,C31-1)</f>
        <v>1.9795998537679447</v>
      </c>
      <c r="D32" s="68"/>
      <c r="E32" s="68"/>
      <c r="F32" s="49">
        <v>0.5</v>
      </c>
      <c r="G32" s="229">
        <f>IF(E30&gt;0,TINV(0.5,$C$31-1)*E30,"")</f>
        <v>0.040590361794727185</v>
      </c>
      <c r="I32" s="234" t="s">
        <v>191</v>
      </c>
      <c r="J32" s="236">
        <f>D9</f>
        <v>0.06</v>
      </c>
      <c r="L32" s="51"/>
      <c r="M32" s="51"/>
      <c r="N32" s="51"/>
      <c r="O32" s="51"/>
      <c r="P32" s="51"/>
      <c r="R32" s="15" t="str">
        <f t="shared" si="23"/>
        <v>SE%</v>
      </c>
      <c r="S32" s="9" t="str">
        <f t="shared" si="23"/>
        <v>COST</v>
      </c>
      <c r="T32" s="9" t="str">
        <f t="shared" si="24"/>
        <v>n*BAR</v>
      </c>
      <c r="U32" s="9" t="str">
        <f t="shared" si="24"/>
        <v>nTC</v>
      </c>
      <c r="V32" s="11"/>
      <c r="W32" s="9" t="str">
        <f t="shared" si="25"/>
        <v>COST</v>
      </c>
      <c r="X32" s="9" t="str">
        <f t="shared" si="25"/>
        <v>n*BAR</v>
      </c>
      <c r="Y32" s="9" t="str">
        <f t="shared" si="25"/>
        <v>nTC</v>
      </c>
      <c r="Z32" s="11"/>
      <c r="AA32" s="9" t="str">
        <f aca="true" t="shared" si="26" ref="AA32:AC47">AA3</f>
        <v>COST</v>
      </c>
      <c r="AB32" s="9" t="str">
        <f>AB3</f>
        <v>n*BAR</v>
      </c>
      <c r="AC32" s="9" t="str">
        <f>AC3</f>
        <v>nTC</v>
      </c>
      <c r="AP32" s="21">
        <v>28</v>
      </c>
      <c r="AQ32" s="23">
        <v>0.0633</v>
      </c>
      <c r="AR32" s="23">
        <v>0.1268</v>
      </c>
      <c r="AS32" s="23">
        <v>0.6837</v>
      </c>
      <c r="AT32" s="23">
        <v>1.7033</v>
      </c>
      <c r="AU32" s="23">
        <v>2.0518</v>
      </c>
    </row>
    <row r="33" spans="2:47" ht="13.5" thickBot="1">
      <c r="B33" s="72"/>
      <c r="C33" s="73" t="s">
        <v>3</v>
      </c>
      <c r="D33" s="707" t="s">
        <v>137</v>
      </c>
      <c r="E33" s="240"/>
      <c r="F33" s="230">
        <v>0.95</v>
      </c>
      <c r="G33" s="231">
        <f>IF(E30&gt;0,TINV(0.05,$C$31-1)*E30,"")</f>
        <v>0.11877599122607668</v>
      </c>
      <c r="I33" s="237"/>
      <c r="J33" s="238"/>
      <c r="L33" s="51"/>
      <c r="M33" s="51"/>
      <c r="N33" s="51"/>
      <c r="O33" s="51"/>
      <c r="P33" s="51"/>
      <c r="R33" s="27">
        <f t="shared" si="23"/>
        <v>0.03249999999999997</v>
      </c>
      <c r="S33" s="11">
        <f t="shared" si="23"/>
        <v>945.4297763014986</v>
      </c>
      <c r="T33" s="11">
        <f t="shared" si="24"/>
        <v>125.10016596886555</v>
      </c>
      <c r="U33" s="11">
        <f t="shared" si="24"/>
        <v>115.8715740606279</v>
      </c>
      <c r="V33" s="11"/>
      <c r="W33" s="11" t="e">
        <f t="shared" si="25"/>
        <v>#DIV/0!</v>
      </c>
      <c r="X33" s="11" t="e">
        <f t="shared" si="25"/>
        <v>#DIV/0!</v>
      </c>
      <c r="Y33" s="11" t="e">
        <f t="shared" si="25"/>
        <v>#DIV/0!</v>
      </c>
      <c r="Z33" s="11"/>
      <c r="AA33" s="11">
        <f t="shared" si="26"/>
        <v>1633.0480473372809</v>
      </c>
      <c r="AB33" s="11">
        <f>AB4</f>
        <v>544.3493491124269</v>
      </c>
      <c r="AC33" s="11">
        <f>AC4</f>
        <v>90.72489151873782</v>
      </c>
      <c r="AP33" s="21">
        <v>29</v>
      </c>
      <c r="AQ33" s="23">
        <v>0.0633</v>
      </c>
      <c r="AR33" s="23">
        <v>0.1268</v>
      </c>
      <c r="AS33" s="23">
        <v>0.6834</v>
      </c>
      <c r="AT33" s="23">
        <v>1.7011</v>
      </c>
      <c r="AU33" s="23">
        <v>2.0484</v>
      </c>
    </row>
    <row r="34" spans="12:47" ht="13.5" thickBot="1">
      <c r="L34" s="51"/>
      <c r="M34" s="51"/>
      <c r="N34" s="51"/>
      <c r="O34" s="51"/>
      <c r="P34" s="51"/>
      <c r="R34" s="27">
        <f t="shared" si="23"/>
        <v>0.034999999999999976</v>
      </c>
      <c r="S34" s="11">
        <f t="shared" si="23"/>
        <v>815.1920009946591</v>
      </c>
      <c r="T34" s="11">
        <f t="shared" si="24"/>
        <v>107.86697984050137</v>
      </c>
      <c r="U34" s="11">
        <f t="shared" si="24"/>
        <v>99.90967355227606</v>
      </c>
      <c r="V34" s="11"/>
      <c r="W34" s="11" t="e">
        <f t="shared" si="25"/>
        <v>#DIV/0!</v>
      </c>
      <c r="X34" s="11" t="e">
        <f t="shared" si="25"/>
        <v>#DIV/0!</v>
      </c>
      <c r="Y34" s="11" t="e">
        <f t="shared" si="25"/>
        <v>#DIV/0!</v>
      </c>
      <c r="Z34" s="11"/>
      <c r="AA34" s="11">
        <f t="shared" si="26"/>
        <v>1408.0873469387775</v>
      </c>
      <c r="AB34" s="11">
        <f t="shared" si="26"/>
        <v>469.3624489795925</v>
      </c>
      <c r="AC34" s="11">
        <f t="shared" si="26"/>
        <v>78.22707482993208</v>
      </c>
      <c r="AP34" s="21">
        <v>30</v>
      </c>
      <c r="AQ34" s="23">
        <v>0.0633</v>
      </c>
      <c r="AR34" s="23">
        <v>0.1268</v>
      </c>
      <c r="AS34" s="23">
        <v>0.683</v>
      </c>
      <c r="AT34" s="23">
        <v>1.6991</v>
      </c>
      <c r="AU34" s="23">
        <v>2.0452</v>
      </c>
    </row>
    <row r="35" spans="1:47" ht="13.5" thickBot="1">
      <c r="A35" s="686">
        <v>5</v>
      </c>
      <c r="B35" s="98"/>
      <c r="C35" s="99"/>
      <c r="D35" s="99"/>
      <c r="E35" s="100" t="s">
        <v>161</v>
      </c>
      <c r="F35" s="99"/>
      <c r="G35" s="99"/>
      <c r="H35" s="99"/>
      <c r="I35" s="99"/>
      <c r="J35" s="101"/>
      <c r="L35" s="51"/>
      <c r="M35" s="51"/>
      <c r="N35" s="51"/>
      <c r="O35" s="51"/>
      <c r="P35" s="51"/>
      <c r="R35" s="27">
        <f t="shared" si="23"/>
        <v>0.03749999999999998</v>
      </c>
      <c r="S35" s="11">
        <f t="shared" si="23"/>
        <v>710.1228097553474</v>
      </c>
      <c r="T35" s="11">
        <f t="shared" si="24"/>
        <v>93.96412466105895</v>
      </c>
      <c r="U35" s="11">
        <f t="shared" si="24"/>
        <v>87.03242673887156</v>
      </c>
      <c r="V35" s="11"/>
      <c r="W35" s="11" t="e">
        <f t="shared" si="25"/>
        <v>#DIV/0!</v>
      </c>
      <c r="X35" s="11" t="e">
        <f t="shared" si="25"/>
        <v>#DIV/0!</v>
      </c>
      <c r="Y35" s="11" t="e">
        <f t="shared" si="25"/>
        <v>#DIV/0!</v>
      </c>
      <c r="Z35" s="11"/>
      <c r="AA35" s="11">
        <f t="shared" si="26"/>
        <v>1226.6005333333346</v>
      </c>
      <c r="AB35" s="11">
        <f t="shared" si="26"/>
        <v>408.8668444444449</v>
      </c>
      <c r="AC35" s="11">
        <f t="shared" si="26"/>
        <v>68.14447407407414</v>
      </c>
      <c r="AP35" s="21">
        <v>31</v>
      </c>
      <c r="AQ35" s="23">
        <v>0.0632</v>
      </c>
      <c r="AR35" s="23">
        <v>0.1267</v>
      </c>
      <c r="AS35" s="23">
        <v>0.6828</v>
      </c>
      <c r="AT35" s="23">
        <v>1.6973</v>
      </c>
      <c r="AU35" s="23">
        <v>2.0423</v>
      </c>
    </row>
    <row r="36" spans="2:47" ht="14.25" thickBot="1" thickTop="1">
      <c r="B36" s="91"/>
      <c r="C36" s="41"/>
      <c r="D36" s="41"/>
      <c r="E36" s="41"/>
      <c r="F36" s="109" t="s">
        <v>181</v>
      </c>
      <c r="G36" s="41"/>
      <c r="H36" s="634" t="s">
        <v>135</v>
      </c>
      <c r="I36" s="78">
        <f>J36</f>
        <v>200</v>
      </c>
      <c r="J36" s="201">
        <v>200</v>
      </c>
      <c r="K36" s="10" t="s">
        <v>3</v>
      </c>
      <c r="L36" s="51"/>
      <c r="M36" s="51"/>
      <c r="N36" s="51"/>
      <c r="O36" s="51"/>
      <c r="P36" s="51"/>
      <c r="R36" s="27">
        <f t="shared" si="23"/>
        <v>0.03999999999999998</v>
      </c>
      <c r="S36" s="11">
        <f t="shared" si="23"/>
        <v>624.1313757615358</v>
      </c>
      <c r="T36" s="11">
        <f t="shared" si="24"/>
        <v>82.58565644038384</v>
      </c>
      <c r="U36" s="11">
        <f t="shared" si="24"/>
        <v>76.49334381346134</v>
      </c>
      <c r="V36" s="11"/>
      <c r="W36" s="11" t="e">
        <f t="shared" si="25"/>
        <v>#DIV/0!</v>
      </c>
      <c r="X36" s="11" t="e">
        <f t="shared" si="25"/>
        <v>#DIV/0!</v>
      </c>
      <c r="Y36" s="11" t="e">
        <f t="shared" si="25"/>
        <v>#DIV/0!</v>
      </c>
      <c r="Z36" s="11"/>
      <c r="AA36" s="11">
        <f t="shared" si="26"/>
        <v>1078.0668750000011</v>
      </c>
      <c r="AB36" s="11">
        <f t="shared" si="26"/>
        <v>359.3556250000004</v>
      </c>
      <c r="AC36" s="11">
        <f t="shared" si="26"/>
        <v>59.89260416666673</v>
      </c>
      <c r="AP36" s="21">
        <v>41</v>
      </c>
      <c r="AQ36" s="23">
        <v>0.0629</v>
      </c>
      <c r="AR36" s="23">
        <v>0.1262</v>
      </c>
      <c r="AS36" s="23">
        <v>0.6804</v>
      </c>
      <c r="AT36" s="23">
        <v>1.6842</v>
      </c>
      <c r="AU36" s="23">
        <v>2.0215</v>
      </c>
    </row>
    <row r="37" spans="2:47" ht="13.5" thickBot="1">
      <c r="B37" s="103" t="s">
        <v>169</v>
      </c>
      <c r="C37" s="50"/>
      <c r="D37" s="50"/>
      <c r="E37" s="50"/>
      <c r="F37" s="62" t="s">
        <v>120</v>
      </c>
      <c r="G37" s="62"/>
      <c r="H37" s="635" t="s">
        <v>172</v>
      </c>
      <c r="I37" s="102">
        <v>8.5</v>
      </c>
      <c r="J37" s="203">
        <f>IF(J36="","",((2*J38)/SQRT((43560/J36)-1))*12)</f>
        <v>3.2599549495449676</v>
      </c>
      <c r="L37" s="51"/>
      <c r="M37" s="51"/>
      <c r="N37" s="51"/>
      <c r="O37" s="51"/>
      <c r="P37" s="51"/>
      <c r="R37" s="27">
        <f t="shared" si="23"/>
        <v>0.04249999999999998</v>
      </c>
      <c r="S37" s="11">
        <f t="shared" si="23"/>
        <v>552.863779221291</v>
      </c>
      <c r="T37" s="11">
        <f t="shared" si="24"/>
        <v>73.15546037625695</v>
      </c>
      <c r="U37" s="11">
        <f t="shared" si="24"/>
        <v>67.75880974479618</v>
      </c>
      <c r="V37" s="11"/>
      <c r="W37" s="11" t="e">
        <f t="shared" si="25"/>
        <v>#DIV/0!</v>
      </c>
      <c r="X37" s="11" t="e">
        <f t="shared" si="25"/>
        <v>#DIV/0!</v>
      </c>
      <c r="Y37" s="11" t="e">
        <f t="shared" si="25"/>
        <v>#DIV/0!</v>
      </c>
      <c r="Z37" s="11"/>
      <c r="AA37" s="11">
        <f t="shared" si="26"/>
        <v>954.9658131487898</v>
      </c>
      <c r="AB37" s="11">
        <f t="shared" si="26"/>
        <v>318.3219377162633</v>
      </c>
      <c r="AC37" s="11">
        <f t="shared" si="26"/>
        <v>53.053656286043875</v>
      </c>
      <c r="AP37" s="21">
        <v>61</v>
      </c>
      <c r="AQ37" s="23">
        <v>0.0628</v>
      </c>
      <c r="AR37" s="23">
        <v>0.1259</v>
      </c>
      <c r="AS37" s="23">
        <v>0.6783</v>
      </c>
      <c r="AT37" s="23">
        <v>1.671</v>
      </c>
      <c r="AU37" s="23">
        <v>2.0008</v>
      </c>
    </row>
    <row r="38" spans="2:47" ht="13.5" thickBot="1">
      <c r="B38" s="92"/>
      <c r="C38" s="61" t="s">
        <v>158</v>
      </c>
      <c r="D38" s="139">
        <v>8.5</v>
      </c>
      <c r="E38" s="50" t="s">
        <v>114</v>
      </c>
      <c r="F38" s="140">
        <f>43560/((D39*2/(D38/12))^2+D40)</f>
        <v>151.24818281210577</v>
      </c>
      <c r="G38" s="50" t="s">
        <v>71</v>
      </c>
      <c r="H38" s="636" t="s">
        <v>240</v>
      </c>
      <c r="I38" s="143">
        <f>IF(I36&gt;0,(SQRT((43560/I36)-1)*(I37))/2/12,"")</f>
        <v>5.214795990470022</v>
      </c>
      <c r="J38" s="202">
        <v>2</v>
      </c>
      <c r="K38" s="11"/>
      <c r="L38" s="51"/>
      <c r="R38" s="27">
        <f t="shared" si="23"/>
        <v>0.044999999999999984</v>
      </c>
      <c r="S38" s="11">
        <f t="shared" si="23"/>
        <v>493.14084010787997</v>
      </c>
      <c r="T38" s="11">
        <f t="shared" si="24"/>
        <v>65.25286434795758</v>
      </c>
      <c r="U38" s="11">
        <f t="shared" si="24"/>
        <v>60.43918523532746</v>
      </c>
      <c r="V38" s="11"/>
      <c r="W38" s="11" t="e">
        <f t="shared" si="25"/>
        <v>#DIV/0!</v>
      </c>
      <c r="X38" s="11" t="e">
        <f t="shared" si="25"/>
        <v>#DIV/0!</v>
      </c>
      <c r="Y38" s="11" t="e">
        <f t="shared" si="25"/>
        <v>#DIV/0!</v>
      </c>
      <c r="Z38" s="11"/>
      <c r="AA38" s="11">
        <f t="shared" si="26"/>
        <v>851.8059259259264</v>
      </c>
      <c r="AB38" s="11">
        <f t="shared" si="26"/>
        <v>283.9353086419755</v>
      </c>
      <c r="AC38" s="11">
        <f t="shared" si="26"/>
        <v>47.32255144032925</v>
      </c>
      <c r="AP38" s="21">
        <v>121</v>
      </c>
      <c r="AQ38" s="23">
        <v>0.0627</v>
      </c>
      <c r="AR38" s="23">
        <v>0.1256</v>
      </c>
      <c r="AS38" s="23">
        <v>0.6762</v>
      </c>
      <c r="AT38" s="23">
        <v>1.658</v>
      </c>
      <c r="AU38" s="23">
        <v>1.9804</v>
      </c>
    </row>
    <row r="39" spans="2:47" ht="12.75">
      <c r="B39" s="92"/>
      <c r="C39" s="61" t="s">
        <v>159</v>
      </c>
      <c r="D39" s="139">
        <v>6</v>
      </c>
      <c r="E39" s="50" t="s">
        <v>75</v>
      </c>
      <c r="F39" s="50" t="s">
        <v>3</v>
      </c>
      <c r="G39" s="50" t="s">
        <v>3</v>
      </c>
      <c r="H39" s="50" t="s">
        <v>3</v>
      </c>
      <c r="I39" s="50"/>
      <c r="J39" s="709"/>
      <c r="K39" s="11" t="s">
        <v>3</v>
      </c>
      <c r="L39" s="51"/>
      <c r="R39" s="27">
        <f t="shared" si="23"/>
        <v>0.04749999999999999</v>
      </c>
      <c r="S39" s="11">
        <f t="shared" si="23"/>
        <v>442.59731909959294</v>
      </c>
      <c r="T39" s="11">
        <f t="shared" si="24"/>
        <v>58.564897641934216</v>
      </c>
      <c r="U39" s="11">
        <f t="shared" si="24"/>
        <v>54.24458730262075</v>
      </c>
      <c r="V39" s="11"/>
      <c r="W39" s="11" t="e">
        <f t="shared" si="25"/>
        <v>#DIV/0!</v>
      </c>
      <c r="X39" s="11" t="e">
        <f t="shared" si="25"/>
        <v>#DIV/0!</v>
      </c>
      <c r="Y39" s="11" t="e">
        <f t="shared" si="25"/>
        <v>#DIV/0!</v>
      </c>
      <c r="Z39" s="11"/>
      <c r="AA39" s="11">
        <f t="shared" si="26"/>
        <v>764.5017174515239</v>
      </c>
      <c r="AB39" s="11">
        <f t="shared" si="26"/>
        <v>254.83390581717464</v>
      </c>
      <c r="AC39" s="11">
        <f t="shared" si="26"/>
        <v>42.47231763619577</v>
      </c>
      <c r="AP39" s="21" t="s">
        <v>73</v>
      </c>
      <c r="AQ39" s="23">
        <v>0.0627</v>
      </c>
      <c r="AR39" s="23">
        <v>0.1257</v>
      </c>
      <c r="AS39" s="23">
        <v>0.6745</v>
      </c>
      <c r="AT39" s="23">
        <v>1.6449</v>
      </c>
      <c r="AU39" s="23">
        <v>1.96</v>
      </c>
    </row>
    <row r="40" spans="2:47" ht="12.75">
      <c r="B40" s="93"/>
      <c r="C40" s="61" t="s">
        <v>154</v>
      </c>
      <c r="D40" s="74">
        <v>1</v>
      </c>
      <c r="E40" s="50"/>
      <c r="F40" s="50"/>
      <c r="G40" s="50"/>
      <c r="H40" s="50"/>
      <c r="I40" s="50"/>
      <c r="J40" s="94"/>
      <c r="K40" s="708" t="s">
        <v>160</v>
      </c>
      <c r="L40" s="675"/>
      <c r="M40" s="675"/>
      <c r="N40" s="676"/>
      <c r="R40" s="27">
        <f t="shared" si="23"/>
        <v>0.04999999999999999</v>
      </c>
      <c r="S40" s="11">
        <f t="shared" si="23"/>
        <v>399.4440804873826</v>
      </c>
      <c r="T40" s="11">
        <f t="shared" si="24"/>
        <v>52.854820121845634</v>
      </c>
      <c r="U40" s="11">
        <f t="shared" si="24"/>
        <v>48.95574004061523</v>
      </c>
      <c r="V40" s="11"/>
      <c r="W40" s="11" t="e">
        <f t="shared" si="25"/>
        <v>#DIV/0!</v>
      </c>
      <c r="X40" s="11" t="e">
        <f t="shared" si="25"/>
        <v>#DIV/0!</v>
      </c>
      <c r="Y40" s="11" t="e">
        <f t="shared" si="25"/>
        <v>#DIV/0!</v>
      </c>
      <c r="Z40" s="11"/>
      <c r="AA40" s="11">
        <f t="shared" si="26"/>
        <v>689.9628000000004</v>
      </c>
      <c r="AB40" s="11">
        <f t="shared" si="26"/>
        <v>229.98760000000013</v>
      </c>
      <c r="AC40" s="11">
        <f t="shared" si="26"/>
        <v>38.331266666666686</v>
      </c>
      <c r="AP40" s="21"/>
      <c r="AQ40" s="23"/>
      <c r="AR40" s="23"/>
      <c r="AS40" s="23"/>
      <c r="AT40" s="23"/>
      <c r="AU40" s="23"/>
    </row>
    <row r="41" spans="2:29" ht="12.75">
      <c r="B41" s="93" t="s">
        <v>167</v>
      </c>
      <c r="C41" s="50"/>
      <c r="D41" s="50"/>
      <c r="E41" s="50"/>
      <c r="F41" s="50"/>
      <c r="G41" s="61" t="s">
        <v>221</v>
      </c>
      <c r="H41" s="144">
        <f>SQRT((D$39*12*2/D$38)^2+D$40)/12/2</f>
        <v>0.7071110289798078</v>
      </c>
      <c r="I41" s="50" t="s">
        <v>165</v>
      </c>
      <c r="J41" s="94"/>
      <c r="K41" s="710" t="s">
        <v>254</v>
      </c>
      <c r="L41" s="678"/>
      <c r="M41" s="678"/>
      <c r="N41" s="679"/>
      <c r="R41" s="27">
        <f t="shared" si="23"/>
        <v>0.05249999999999999</v>
      </c>
      <c r="S41" s="11">
        <f t="shared" si="23"/>
        <v>362.30755599762585</v>
      </c>
      <c r="T41" s="11">
        <f t="shared" si="24"/>
        <v>47.94087992911167</v>
      </c>
      <c r="U41" s="11">
        <f t="shared" si="24"/>
        <v>44.40429935656709</v>
      </c>
      <c r="V41" s="11"/>
      <c r="W41" s="11" t="e">
        <f t="shared" si="25"/>
        <v>#DIV/0!</v>
      </c>
      <c r="X41" s="11" t="e">
        <f t="shared" si="25"/>
        <v>#DIV/0!</v>
      </c>
      <c r="Y41" s="11" t="e">
        <f t="shared" si="25"/>
        <v>#DIV/0!</v>
      </c>
      <c r="Z41" s="11"/>
      <c r="AA41" s="11">
        <f t="shared" si="26"/>
        <v>625.816598639456</v>
      </c>
      <c r="AB41" s="11">
        <f t="shared" si="26"/>
        <v>208.60553287981867</v>
      </c>
      <c r="AC41" s="11">
        <f t="shared" si="26"/>
        <v>34.76758881330311</v>
      </c>
    </row>
    <row r="42" spans="2:29" ht="13.5" thickBot="1">
      <c r="B42" s="76" t="s">
        <v>3</v>
      </c>
      <c r="C42" s="50"/>
      <c r="D42" s="50"/>
      <c r="E42" s="50"/>
      <c r="F42" s="50"/>
      <c r="G42" s="61" t="s">
        <v>171</v>
      </c>
      <c r="H42" s="145">
        <f>H41-(1/24)</f>
        <v>0.6654443623131412</v>
      </c>
      <c r="I42" s="50" t="s">
        <v>165</v>
      </c>
      <c r="J42" s="94"/>
      <c r="K42" s="711" t="s">
        <v>251</v>
      </c>
      <c r="L42" s="680"/>
      <c r="M42" s="680"/>
      <c r="N42" s="681"/>
      <c r="R42" s="27">
        <f t="shared" si="23"/>
        <v>0.05499999999999999</v>
      </c>
      <c r="S42" s="11">
        <f t="shared" si="23"/>
        <v>330.11907478296075</v>
      </c>
      <c r="T42" s="11">
        <f t="shared" si="24"/>
        <v>43.68166952218646</v>
      </c>
      <c r="U42" s="11">
        <f t="shared" si="24"/>
        <v>40.45928928976464</v>
      </c>
      <c r="V42" s="11"/>
      <c r="W42" s="11" t="e">
        <f t="shared" si="25"/>
        <v>#DIV/0!</v>
      </c>
      <c r="X42" s="11" t="e">
        <f t="shared" si="25"/>
        <v>#DIV/0!</v>
      </c>
      <c r="Y42" s="11" t="e">
        <f t="shared" si="25"/>
        <v>#DIV/0!</v>
      </c>
      <c r="Z42" s="11"/>
      <c r="AA42" s="11">
        <f t="shared" si="26"/>
        <v>570.2171900826447</v>
      </c>
      <c r="AB42" s="11">
        <f t="shared" si="26"/>
        <v>190.07239669421492</v>
      </c>
      <c r="AC42" s="11">
        <f t="shared" si="26"/>
        <v>31.678732782369153</v>
      </c>
    </row>
    <row r="43" spans="2:29" ht="12.75">
      <c r="B43" s="75" t="s">
        <v>131</v>
      </c>
      <c r="C43" s="123">
        <f>H41</f>
        <v>0.7071110289798078</v>
      </c>
      <c r="D43" s="104" t="s">
        <v>133</v>
      </c>
      <c r="E43" s="105" t="s">
        <v>132</v>
      </c>
      <c r="F43" s="62"/>
      <c r="G43" s="107" t="s">
        <v>192</v>
      </c>
      <c r="H43" s="242">
        <v>24</v>
      </c>
      <c r="I43" s="108" t="s">
        <v>74</v>
      </c>
      <c r="J43" s="94"/>
      <c r="O43"/>
      <c r="R43" s="27">
        <f t="shared" si="23"/>
        <v>0.057499999999999996</v>
      </c>
      <c r="S43" s="11">
        <f t="shared" si="23"/>
        <v>302.03711189972216</v>
      </c>
      <c r="T43" s="11">
        <f t="shared" si="24"/>
        <v>39.965837521244325</v>
      </c>
      <c r="U43" s="11">
        <f t="shared" si="24"/>
        <v>37.01757280953892</v>
      </c>
      <c r="V43" s="11"/>
      <c r="W43" s="11" t="e">
        <f t="shared" si="25"/>
        <v>#DIV/0!</v>
      </c>
      <c r="X43" s="11" t="e">
        <f t="shared" si="25"/>
        <v>#DIV/0!</v>
      </c>
      <c r="Y43" s="11" t="e">
        <f t="shared" si="25"/>
        <v>#DIV/0!</v>
      </c>
      <c r="Z43" s="11"/>
      <c r="AA43" s="11">
        <f t="shared" si="26"/>
        <v>521.7110018903593</v>
      </c>
      <c r="AB43" s="11">
        <f t="shared" si="26"/>
        <v>173.90366729678644</v>
      </c>
      <c r="AC43" s="11">
        <f t="shared" si="26"/>
        <v>28.983944549464404</v>
      </c>
    </row>
    <row r="44" spans="2:29" ht="13.5" thickBot="1">
      <c r="B44" s="77" t="s">
        <v>3</v>
      </c>
      <c r="C44" s="106" t="s">
        <v>146</v>
      </c>
      <c r="D44" s="149">
        <f>IF(C43="","",(43560/(C43*2*12)^2))</f>
        <v>151.2481828121058</v>
      </c>
      <c r="E44" s="148">
        <f>IF(C43="","",(43560/((C43+1/24)*2*12)^2))</f>
        <v>134.88373679642427</v>
      </c>
      <c r="F44" s="63" t="s">
        <v>118</v>
      </c>
      <c r="G44" s="146">
        <f>IF(H43="","",(H41*H43))</f>
        <v>16.97066469551539</v>
      </c>
      <c r="H44" s="94" t="s">
        <v>170</v>
      </c>
      <c r="I44" s="50"/>
      <c r="J44" s="94"/>
      <c r="R44" s="27">
        <f t="shared" si="23"/>
        <v>0.06</v>
      </c>
      <c r="S44" s="11">
        <f t="shared" si="23"/>
        <v>277.39172256068224</v>
      </c>
      <c r="T44" s="11">
        <f t="shared" si="24"/>
        <v>36.70473619572611</v>
      </c>
      <c r="U44" s="11">
        <f t="shared" si="24"/>
        <v>33.99704169487167</v>
      </c>
      <c r="V44" s="11"/>
      <c r="W44" s="11" t="e">
        <f t="shared" si="25"/>
        <v>#DIV/0!</v>
      </c>
      <c r="X44" s="11" t="e">
        <f t="shared" si="25"/>
        <v>#DIV/0!</v>
      </c>
      <c r="Y44" s="11" t="e">
        <f t="shared" si="25"/>
        <v>#DIV/0!</v>
      </c>
      <c r="Z44" s="11"/>
      <c r="AA44" s="11">
        <f t="shared" si="26"/>
        <v>479.1408333333333</v>
      </c>
      <c r="AB44" s="11">
        <f t="shared" si="26"/>
        <v>159.7136111111111</v>
      </c>
      <c r="AC44" s="11">
        <f t="shared" si="26"/>
        <v>26.618935185185183</v>
      </c>
    </row>
    <row r="45" spans="1:29" ht="13.5" thickBot="1">
      <c r="A45" s="687"/>
      <c r="B45" s="84" t="s">
        <v>3</v>
      </c>
      <c r="C45" s="84" t="s">
        <v>3</v>
      </c>
      <c r="D45" s="84" t="s">
        <v>3</v>
      </c>
      <c r="E45" s="84" t="s">
        <v>3</v>
      </c>
      <c r="F45" s="141" t="s">
        <v>118</v>
      </c>
      <c r="G45" s="147">
        <f>IF(H43="","",G44-(H43/2/12))</f>
        <v>15.970664695515389</v>
      </c>
      <c r="H45" s="95" t="s">
        <v>179</v>
      </c>
      <c r="I45" s="95"/>
      <c r="J45" s="96"/>
      <c r="R45" s="27">
        <f t="shared" si="23"/>
        <v>0.0625</v>
      </c>
      <c r="S45" s="11">
        <f t="shared" si="23"/>
        <v>255.64421151192477</v>
      </c>
      <c r="T45" s="11">
        <f t="shared" si="24"/>
        <v>33.827084877981186</v>
      </c>
      <c r="U45" s="11">
        <f t="shared" si="24"/>
        <v>31.33167362599373</v>
      </c>
      <c r="V45" s="11"/>
      <c r="W45" s="11" t="e">
        <f t="shared" si="25"/>
        <v>#DIV/0!</v>
      </c>
      <c r="X45" s="11" t="e">
        <f t="shared" si="25"/>
        <v>#DIV/0!</v>
      </c>
      <c r="Y45" s="11" t="e">
        <f t="shared" si="25"/>
        <v>#DIV/0!</v>
      </c>
      <c r="Z45" s="11"/>
      <c r="AA45" s="11">
        <f t="shared" si="26"/>
        <v>441.576192</v>
      </c>
      <c r="AB45" s="11">
        <f t="shared" si="26"/>
        <v>147.192064</v>
      </c>
      <c r="AC45" s="11">
        <f t="shared" si="26"/>
        <v>24.532010666666665</v>
      </c>
    </row>
    <row r="46" spans="12:29" ht="13.5" thickBot="1">
      <c r="L46" s="65" t="s">
        <v>3</v>
      </c>
      <c r="R46" s="27">
        <f aca="true" t="shared" si="27" ref="R46:U56">R17</f>
        <v>0.065</v>
      </c>
      <c r="S46" s="11">
        <f t="shared" si="27"/>
        <v>236.3574440753742</v>
      </c>
      <c r="T46" s="11">
        <f t="shared" si="27"/>
        <v>31.27504149221633</v>
      </c>
      <c r="U46" s="11">
        <f t="shared" si="27"/>
        <v>28.967893515156923</v>
      </c>
      <c r="V46" s="11"/>
      <c r="W46" s="11" t="e">
        <f aca="true" t="shared" si="28" ref="W46:Y56">W17</f>
        <v>#DIV/0!</v>
      </c>
      <c r="X46" s="11" t="e">
        <f t="shared" si="28"/>
        <v>#DIV/0!</v>
      </c>
      <c r="Y46" s="11" t="e">
        <f t="shared" si="28"/>
        <v>#DIV/0!</v>
      </c>
      <c r="Z46" s="11"/>
      <c r="AA46" s="11">
        <f t="shared" si="26"/>
        <v>408.2620118343194</v>
      </c>
      <c r="AB46" s="11">
        <f t="shared" si="26"/>
        <v>136.08733727810647</v>
      </c>
      <c r="AC46" s="11">
        <f t="shared" si="26"/>
        <v>22.681222879684412</v>
      </c>
    </row>
    <row r="47" spans="2:29" ht="13.5" thickBot="1">
      <c r="B47" s="127"/>
      <c r="C47" s="128"/>
      <c r="D47" s="128"/>
      <c r="E47" s="86" t="s">
        <v>162</v>
      </c>
      <c r="F47" s="128"/>
      <c r="G47" s="128"/>
      <c r="H47" s="128"/>
      <c r="I47" s="128"/>
      <c r="J47" s="129"/>
      <c r="R47" s="27">
        <f t="shared" si="27"/>
        <v>0.0675</v>
      </c>
      <c r="S47" s="11">
        <f t="shared" si="27"/>
        <v>219.1737067146131</v>
      </c>
      <c r="T47" s="11">
        <f t="shared" si="27"/>
        <v>29.00127304353668</v>
      </c>
      <c r="U47" s="11">
        <f t="shared" si="27"/>
        <v>26.861860104589958</v>
      </c>
      <c r="V47" s="11"/>
      <c r="W47" s="11" t="e">
        <f t="shared" si="28"/>
        <v>#DIV/0!</v>
      </c>
      <c r="X47" s="11" t="e">
        <f t="shared" si="28"/>
        <v>#DIV/0!</v>
      </c>
      <c r="Y47" s="11" t="e">
        <f t="shared" si="28"/>
        <v>#DIV/0!</v>
      </c>
      <c r="Z47" s="11"/>
      <c r="AA47" s="11">
        <f t="shared" si="26"/>
        <v>378.58041152263365</v>
      </c>
      <c r="AB47" s="11">
        <f t="shared" si="26"/>
        <v>126.19347050754456</v>
      </c>
      <c r="AC47" s="11">
        <f t="shared" si="26"/>
        <v>21.03224508459076</v>
      </c>
    </row>
    <row r="48" spans="2:29" ht="14.25" thickBot="1" thickTop="1">
      <c r="B48" s="110"/>
      <c r="C48" s="111"/>
      <c r="D48" s="111"/>
      <c r="E48" s="111"/>
      <c r="F48" s="173" t="s">
        <v>180</v>
      </c>
      <c r="G48" s="111"/>
      <c r="H48" s="112" t="s">
        <v>164</v>
      </c>
      <c r="I48" s="113">
        <f>600/4.356</f>
        <v>137.7410468319559</v>
      </c>
      <c r="J48" s="204">
        <f>I48</f>
        <v>137.7410468319559</v>
      </c>
      <c r="R48" s="27">
        <f t="shared" si="27"/>
        <v>0.07</v>
      </c>
      <c r="S48" s="11">
        <f t="shared" si="27"/>
        <v>203.7980002486645</v>
      </c>
      <c r="T48" s="11">
        <f t="shared" si="27"/>
        <v>26.966744960125304</v>
      </c>
      <c r="U48" s="11">
        <f t="shared" si="27"/>
        <v>24.977418388068976</v>
      </c>
      <c r="V48" s="11"/>
      <c r="W48" s="11" t="e">
        <f t="shared" si="28"/>
        <v>#DIV/0!</v>
      </c>
      <c r="X48" s="11" t="e">
        <f t="shared" si="28"/>
        <v>#DIV/0!</v>
      </c>
      <c r="Y48" s="11" t="e">
        <f t="shared" si="28"/>
        <v>#DIV/0!</v>
      </c>
      <c r="Z48" s="11"/>
      <c r="AA48" s="11">
        <f aca="true" t="shared" si="29" ref="AA48:AC56">AA19</f>
        <v>352.0218367346938</v>
      </c>
      <c r="AB48" s="11">
        <f t="shared" si="29"/>
        <v>117.34061224489794</v>
      </c>
      <c r="AC48" s="11">
        <f t="shared" si="29"/>
        <v>19.556768707482988</v>
      </c>
    </row>
    <row r="49" spans="2:29" ht="13.5" thickBot="1">
      <c r="B49" s="114"/>
      <c r="C49" s="115"/>
      <c r="D49" s="115"/>
      <c r="E49" s="115"/>
      <c r="F49" s="115"/>
      <c r="G49" s="90"/>
      <c r="H49" s="116" t="s">
        <v>172</v>
      </c>
      <c r="I49" s="139">
        <f>8.5*2.54</f>
        <v>21.59</v>
      </c>
      <c r="J49" s="582">
        <f>IF(J48="","",((2*J50)/SQRT((10000/J48)-1))*100)</f>
        <v>21.589999999999996</v>
      </c>
      <c r="R49" s="27">
        <f t="shared" si="27"/>
        <v>0.07250000000000001</v>
      </c>
      <c r="S49" s="11">
        <f t="shared" si="27"/>
        <v>189.98529392978944</v>
      </c>
      <c r="T49" s="11">
        <f t="shared" si="27"/>
        <v>25.13903454071134</v>
      </c>
      <c r="U49" s="11">
        <f t="shared" si="27"/>
        <v>23.284537474727795</v>
      </c>
      <c r="V49" s="11"/>
      <c r="W49" s="11" t="e">
        <f t="shared" si="28"/>
        <v>#DIV/0!</v>
      </c>
      <c r="X49" s="11" t="e">
        <f t="shared" si="28"/>
        <v>#DIV/0!</v>
      </c>
      <c r="Y49" s="11" t="e">
        <f t="shared" si="28"/>
        <v>#DIV/0!</v>
      </c>
      <c r="Z49" s="11"/>
      <c r="AA49" s="11">
        <f t="shared" si="29"/>
        <v>328.16304399524364</v>
      </c>
      <c r="AB49" s="11">
        <f t="shared" si="29"/>
        <v>109.38768133174788</v>
      </c>
      <c r="AC49" s="11">
        <f t="shared" si="29"/>
        <v>18.23128022195798</v>
      </c>
    </row>
    <row r="50" spans="2:29" ht="13.5" thickBot="1">
      <c r="B50" s="97"/>
      <c r="C50" s="117" t="s">
        <v>173</v>
      </c>
      <c r="D50" s="124">
        <v>21.59</v>
      </c>
      <c r="E50" s="115" t="s">
        <v>168</v>
      </c>
      <c r="F50" s="90" t="s">
        <v>120</v>
      </c>
      <c r="G50" s="115" t="s">
        <v>3</v>
      </c>
      <c r="H50" s="118" t="s">
        <v>134</v>
      </c>
      <c r="I50" s="151">
        <f>IF(I48&gt;0,(SQRT((10000/I48)-1)*(I49))/2/100,"")</f>
        <v>0.9134381747004008</v>
      </c>
      <c r="J50" s="205">
        <f>I50</f>
        <v>0.9134381747004008</v>
      </c>
      <c r="R50" s="27">
        <f t="shared" si="27"/>
        <v>0.07500000000000001</v>
      </c>
      <c r="S50" s="11">
        <f t="shared" si="27"/>
        <v>177.53070243883656</v>
      </c>
      <c r="T50" s="11">
        <f t="shared" si="27"/>
        <v>23.491031165264705</v>
      </c>
      <c r="U50" s="11">
        <f t="shared" si="27"/>
        <v>21.75810668471786</v>
      </c>
      <c r="V50" s="11"/>
      <c r="W50" s="11" t="e">
        <f t="shared" si="28"/>
        <v>#DIV/0!</v>
      </c>
      <c r="X50" s="11" t="e">
        <f t="shared" si="28"/>
        <v>#DIV/0!</v>
      </c>
      <c r="Y50" s="11" t="e">
        <f t="shared" si="28"/>
        <v>#DIV/0!</v>
      </c>
      <c r="Z50" s="11"/>
      <c r="AA50" s="11">
        <f t="shared" si="29"/>
        <v>306.65013333333326</v>
      </c>
      <c r="AB50" s="11">
        <f t="shared" si="29"/>
        <v>102.21671111111108</v>
      </c>
      <c r="AC50" s="11">
        <f t="shared" si="29"/>
        <v>17.036118518518514</v>
      </c>
    </row>
    <row r="51" spans="2:29" ht="12.75">
      <c r="B51" s="97"/>
      <c r="C51" s="117" t="s">
        <v>174</v>
      </c>
      <c r="D51" s="125">
        <f>I50</f>
        <v>0.9134381747004008</v>
      </c>
      <c r="E51" s="115" t="s">
        <v>77</v>
      </c>
      <c r="F51" s="142">
        <f>10000/((D51*2/(D50/100))^2+D52)</f>
        <v>137.74104683195594</v>
      </c>
      <c r="G51" s="115" t="s">
        <v>72</v>
      </c>
      <c r="H51" s="115"/>
      <c r="I51" s="115"/>
      <c r="J51" s="119"/>
      <c r="R51" s="27">
        <f t="shared" si="27"/>
        <v>0.07750000000000001</v>
      </c>
      <c r="S51" s="11">
        <f t="shared" si="27"/>
        <v>166.2618441154557</v>
      </c>
      <c r="T51" s="11">
        <f t="shared" si="27"/>
        <v>21.99992512875987</v>
      </c>
      <c r="U51" s="11">
        <f t="shared" si="27"/>
        <v>20.37699897632266</v>
      </c>
      <c r="V51" s="11"/>
      <c r="W51" s="11" t="e">
        <f t="shared" si="28"/>
        <v>#DIV/0!</v>
      </c>
      <c r="X51" s="11" t="e">
        <f t="shared" si="28"/>
        <v>#DIV/0!</v>
      </c>
      <c r="Y51" s="11" t="e">
        <f t="shared" si="28"/>
        <v>#DIV/0!</v>
      </c>
      <c r="Z51" s="11"/>
      <c r="AA51" s="11">
        <f t="shared" si="29"/>
        <v>287.1853485952132</v>
      </c>
      <c r="AB51" s="11">
        <f t="shared" si="29"/>
        <v>95.72844953173774</v>
      </c>
      <c r="AC51" s="11">
        <f t="shared" si="29"/>
        <v>15.954741588622955</v>
      </c>
    </row>
    <row r="52" spans="2:29" ht="12.75">
      <c r="B52" s="120"/>
      <c r="C52" s="117" t="s">
        <v>154</v>
      </c>
      <c r="D52" s="126">
        <v>1</v>
      </c>
      <c r="E52" s="115"/>
      <c r="F52" s="115"/>
      <c r="G52" s="115"/>
      <c r="H52" s="115"/>
      <c r="I52" s="115"/>
      <c r="J52" s="121"/>
      <c r="K52" s="708" t="s">
        <v>160</v>
      </c>
      <c r="L52" s="675"/>
      <c r="M52" s="675"/>
      <c r="N52" s="676"/>
      <c r="R52" s="27">
        <f t="shared" si="27"/>
        <v>0.08000000000000002</v>
      </c>
      <c r="S52" s="11">
        <f t="shared" si="27"/>
        <v>156.03284394038369</v>
      </c>
      <c r="T52" s="11">
        <f t="shared" si="27"/>
        <v>20.64641411009593</v>
      </c>
      <c r="U52" s="11">
        <f t="shared" si="27"/>
        <v>19.123335953365306</v>
      </c>
      <c r="V52" s="11"/>
      <c r="W52" s="11" t="e">
        <f t="shared" si="28"/>
        <v>#DIV/0!</v>
      </c>
      <c r="X52" s="11" t="e">
        <f t="shared" si="28"/>
        <v>#DIV/0!</v>
      </c>
      <c r="Y52" s="11" t="e">
        <f t="shared" si="28"/>
        <v>#DIV/0!</v>
      </c>
      <c r="Z52" s="11"/>
      <c r="AA52" s="11">
        <f t="shared" si="29"/>
        <v>269.5167187499999</v>
      </c>
      <c r="AB52" s="11">
        <f t="shared" si="29"/>
        <v>89.83890624999995</v>
      </c>
      <c r="AC52" s="11">
        <f t="shared" si="29"/>
        <v>14.973151041666657</v>
      </c>
    </row>
    <row r="53" spans="2:29" ht="12.75">
      <c r="B53" s="120" t="s">
        <v>175</v>
      </c>
      <c r="C53" s="115"/>
      <c r="D53" s="115"/>
      <c r="E53" s="115"/>
      <c r="F53" s="115"/>
      <c r="G53" s="117" t="s">
        <v>176</v>
      </c>
      <c r="H53" s="144">
        <f>SQRT((D51*2*100/D50)^2+D52)/100/2</f>
        <v>0.04260281680828158</v>
      </c>
      <c r="I53" s="115" t="s">
        <v>166</v>
      </c>
      <c r="J53" s="121"/>
      <c r="K53" s="710" t="s">
        <v>255</v>
      </c>
      <c r="L53" s="678"/>
      <c r="M53" s="678"/>
      <c r="N53" s="679"/>
      <c r="R53" s="27">
        <f t="shared" si="27"/>
        <v>0.08250000000000002</v>
      </c>
      <c r="S53" s="11">
        <f t="shared" si="27"/>
        <v>146.7195887924269</v>
      </c>
      <c r="T53" s="11">
        <f t="shared" si="27"/>
        <v>19.414075343193968</v>
      </c>
      <c r="U53" s="11">
        <f t="shared" si="27"/>
        <v>17.981906351006494</v>
      </c>
      <c r="V53" s="11"/>
      <c r="W53" s="11" t="e">
        <f t="shared" si="28"/>
        <v>#DIV/0!</v>
      </c>
      <c r="X53" s="11" t="e">
        <f t="shared" si="28"/>
        <v>#DIV/0!</v>
      </c>
      <c r="Y53" s="11" t="e">
        <f t="shared" si="28"/>
        <v>#DIV/0!</v>
      </c>
      <c r="Z53" s="11"/>
      <c r="AA53" s="11">
        <f t="shared" si="29"/>
        <v>253.42986225895302</v>
      </c>
      <c r="AB53" s="11">
        <f t="shared" si="29"/>
        <v>84.47662075298435</v>
      </c>
      <c r="AC53" s="11">
        <f t="shared" si="29"/>
        <v>14.079436792164056</v>
      </c>
    </row>
    <row r="54" spans="2:29" ht="13.5" thickBot="1">
      <c r="B54" s="114" t="s">
        <v>3</v>
      </c>
      <c r="C54" s="115"/>
      <c r="D54" s="115"/>
      <c r="E54" s="115"/>
      <c r="F54" s="115"/>
      <c r="G54" s="117" t="s">
        <v>177</v>
      </c>
      <c r="H54" s="150">
        <f>H53-(1/200)</f>
        <v>0.037602816808281585</v>
      </c>
      <c r="I54" s="115" t="s">
        <v>166</v>
      </c>
      <c r="J54" s="121"/>
      <c r="K54" s="711" t="s">
        <v>250</v>
      </c>
      <c r="L54" s="680"/>
      <c r="M54" s="680"/>
      <c r="N54" s="681"/>
      <c r="R54" s="27">
        <f t="shared" si="27"/>
        <v>0.08500000000000002</v>
      </c>
      <c r="S54" s="11">
        <f t="shared" si="27"/>
        <v>138.2159448053226</v>
      </c>
      <c r="T54" s="11">
        <f t="shared" si="27"/>
        <v>18.288865094064217</v>
      </c>
      <c r="U54" s="11">
        <f t="shared" si="27"/>
        <v>16.939702436199028</v>
      </c>
      <c r="V54" s="11"/>
      <c r="W54" s="11" t="e">
        <f t="shared" si="28"/>
        <v>#DIV/0!</v>
      </c>
      <c r="X54" s="11" t="e">
        <f t="shared" si="28"/>
        <v>#DIV/0!</v>
      </c>
      <c r="Y54" s="11" t="e">
        <f t="shared" si="28"/>
        <v>#DIV/0!</v>
      </c>
      <c r="Z54" s="11"/>
      <c r="AA54" s="11">
        <f t="shared" si="29"/>
        <v>238.74145328719712</v>
      </c>
      <c r="AB54" s="11">
        <f t="shared" si="29"/>
        <v>79.5804844290657</v>
      </c>
      <c r="AC54" s="11">
        <f t="shared" si="29"/>
        <v>13.263414071510951</v>
      </c>
    </row>
    <row r="55" spans="2:29" ht="13.5" thickBot="1">
      <c r="B55" s="130" t="s">
        <v>131</v>
      </c>
      <c r="C55" s="123">
        <f>H53</f>
        <v>0.04260281680828158</v>
      </c>
      <c r="D55" s="131" t="s">
        <v>133</v>
      </c>
      <c r="E55" s="132" t="s">
        <v>132</v>
      </c>
      <c r="F55" s="90"/>
      <c r="G55" s="158" t="s">
        <v>192</v>
      </c>
      <c r="H55" s="241">
        <f>2.54*H43</f>
        <v>60.96</v>
      </c>
      <c r="I55" s="133" t="s">
        <v>76</v>
      </c>
      <c r="J55" s="121"/>
      <c r="R55" s="27">
        <f t="shared" si="27"/>
        <v>0.08750000000000002</v>
      </c>
      <c r="S55" s="11">
        <f t="shared" si="27"/>
        <v>130.4307201591452</v>
      </c>
      <c r="T55" s="11">
        <f t="shared" si="27"/>
        <v>17.258716774480188</v>
      </c>
      <c r="U55" s="11">
        <f t="shared" si="27"/>
        <v>15.98554776836414</v>
      </c>
      <c r="V55" s="11"/>
      <c r="W55" s="11" t="e">
        <f t="shared" si="28"/>
        <v>#DIV/0!</v>
      </c>
      <c r="X55" s="11" t="e">
        <f t="shared" si="28"/>
        <v>#DIV/0!</v>
      </c>
      <c r="Y55" s="11" t="e">
        <f t="shared" si="28"/>
        <v>#DIV/0!</v>
      </c>
      <c r="Z55" s="11"/>
      <c r="AA55" s="11">
        <f t="shared" si="29"/>
        <v>225.29397551020395</v>
      </c>
      <c r="AB55" s="11">
        <f t="shared" si="29"/>
        <v>75.09799183673465</v>
      </c>
      <c r="AC55" s="11">
        <f t="shared" si="29"/>
        <v>12.516331972789107</v>
      </c>
    </row>
    <row r="56" spans="2:29" ht="13.5" thickBot="1">
      <c r="B56" s="122" t="s">
        <v>3</v>
      </c>
      <c r="C56" s="134" t="s">
        <v>157</v>
      </c>
      <c r="D56" s="152">
        <f>IF(C55="","",(10000/(C55*2*100)^2))</f>
        <v>137.74104683195594</v>
      </c>
      <c r="E56" s="153">
        <f>IF(C55="","",(10000/((C55+1/200)*2*100)^2))</f>
        <v>110.32519521216445</v>
      </c>
      <c r="F56" s="243" t="s">
        <v>118</v>
      </c>
      <c r="G56" s="154">
        <f>(H53*H55)</f>
        <v>2.597067712632845</v>
      </c>
      <c r="H56" s="135" t="s">
        <v>178</v>
      </c>
      <c r="I56" s="115"/>
      <c r="J56" s="121"/>
      <c r="R56" s="27">
        <f t="shared" si="27"/>
        <v>0.09000000000000002</v>
      </c>
      <c r="S56" s="11">
        <f t="shared" si="27"/>
        <v>123.28521002696982</v>
      </c>
      <c r="T56" s="11">
        <f t="shared" si="27"/>
        <v>16.313216086989375</v>
      </c>
      <c r="U56" s="11">
        <f t="shared" si="27"/>
        <v>15.109796308831845</v>
      </c>
      <c r="V56" s="11"/>
      <c r="W56" s="11" t="e">
        <f t="shared" si="28"/>
        <v>#DIV/0!</v>
      </c>
      <c r="X56" s="11" t="e">
        <f t="shared" si="28"/>
        <v>#DIV/0!</v>
      </c>
      <c r="Y56" s="11" t="e">
        <f t="shared" si="28"/>
        <v>#DIV/0!</v>
      </c>
      <c r="Z56" s="11"/>
      <c r="AA56" s="11">
        <f t="shared" si="29"/>
        <v>212.95148148148138</v>
      </c>
      <c r="AB56" s="11">
        <f t="shared" si="29"/>
        <v>70.98382716049379</v>
      </c>
      <c r="AC56" s="11">
        <f t="shared" si="29"/>
        <v>11.830637860082298</v>
      </c>
    </row>
    <row r="57" spans="2:49" ht="13.5" thickBot="1">
      <c r="B57" s="136"/>
      <c r="C57" s="136"/>
      <c r="D57" s="136"/>
      <c r="E57" s="136"/>
      <c r="F57" s="244" t="s">
        <v>118</v>
      </c>
      <c r="G57" s="155">
        <f>IF(H55="","",G56-(H55/2/100))</f>
        <v>2.292267712632845</v>
      </c>
      <c r="H57" s="137" t="s">
        <v>243</v>
      </c>
      <c r="I57" s="137"/>
      <c r="J57" s="138"/>
      <c r="AE57" s="10"/>
      <c r="AF57" s="10"/>
      <c r="AG57" s="10"/>
      <c r="AH57" s="10"/>
      <c r="AI57" s="10"/>
      <c r="AJ57" s="10"/>
      <c r="AK57" s="10"/>
      <c r="AL57" s="10"/>
      <c r="AM57" s="10"/>
      <c r="AN57" s="10"/>
      <c r="AO57" s="10"/>
      <c r="AQ57"/>
      <c r="AR57"/>
      <c r="AS57"/>
      <c r="AT57"/>
      <c r="AU57"/>
      <c r="AV57"/>
      <c r="AW57"/>
    </row>
    <row r="58" spans="18:41" ht="12.75">
      <c r="R58" s="694" t="str">
        <f>J1</f>
        <v>Other #Points Options :</v>
      </c>
      <c r="S58" s="694"/>
      <c r="T58" s="694"/>
      <c r="U58" s="700" t="str">
        <f>M1</f>
        <v>* start  TC=</v>
      </c>
      <c r="V58" s="697">
        <f>N1</f>
        <v>34</v>
      </c>
      <c r="W58" s="698" t="str">
        <f>O1</f>
        <v>* interval=</v>
      </c>
      <c r="X58" s="699">
        <f>P1</f>
        <v>3</v>
      </c>
      <c r="AE58" s="10"/>
      <c r="AF58" s="10"/>
      <c r="AG58" s="10"/>
      <c r="AH58" s="10"/>
      <c r="AI58" s="10"/>
      <c r="AJ58" s="10"/>
      <c r="AK58" s="10"/>
      <c r="AL58" s="10"/>
      <c r="AM58" s="10"/>
      <c r="AN58" s="10"/>
      <c r="AO58" s="10"/>
    </row>
    <row r="59" spans="18:41" ht="13.5" thickBot="1">
      <c r="R59" s="700" t="s">
        <v>3</v>
      </c>
      <c r="S59" s="694" t="str">
        <f>K2</f>
        <v>* modify by start by :</v>
      </c>
      <c r="T59" s="694"/>
      <c r="U59" s="699">
        <f>M2</f>
        <v>0</v>
      </c>
      <c r="V59" s="700" t="str">
        <f>N2</f>
        <v>Total</v>
      </c>
      <c r="W59" s="700"/>
      <c r="X59" s="700"/>
      <c r="AE59" s="10"/>
      <c r="AF59" s="10"/>
      <c r="AG59" s="10"/>
      <c r="AH59" s="10"/>
      <c r="AI59" s="10"/>
      <c r="AJ59" s="10"/>
      <c r="AK59" s="10"/>
      <c r="AL59" s="10"/>
      <c r="AM59" s="10"/>
      <c r="AN59" s="10"/>
      <c r="AO59" s="10"/>
    </row>
    <row r="60" spans="1:41" ht="13.5" thickBot="1">
      <c r="A60" s="686">
        <v>6</v>
      </c>
      <c r="B60" s="98"/>
      <c r="C60" s="99"/>
      <c r="D60" s="99"/>
      <c r="E60" s="100" t="s">
        <v>245</v>
      </c>
      <c r="F60" s="99"/>
      <c r="G60" s="99"/>
      <c r="H60" s="99"/>
      <c r="I60" s="99"/>
      <c r="J60" s="101"/>
      <c r="R60" s="701" t="str">
        <f>J3</f>
        <v>n(TC)</v>
      </c>
      <c r="S60" s="702" t="str">
        <f>K3</f>
        <v>SE%(TC)</v>
      </c>
      <c r="T60" s="701" t="str">
        <f>L3</f>
        <v>n(VBAR)</v>
      </c>
      <c r="U60" s="703" t="str">
        <f>M3</f>
        <v>SE%(VBAR)</v>
      </c>
      <c r="V60" s="701" t="str">
        <f>N3</f>
        <v>Cost</v>
      </c>
      <c r="W60" s="701"/>
      <c r="X60" s="701" t="s">
        <v>34</v>
      </c>
      <c r="AE60" s="10"/>
      <c r="AF60" s="10"/>
      <c r="AG60" s="10"/>
      <c r="AH60" s="10"/>
      <c r="AI60" s="10"/>
      <c r="AJ60" s="10"/>
      <c r="AK60" s="10"/>
      <c r="AL60" s="10"/>
      <c r="AM60" s="10"/>
      <c r="AN60" s="10"/>
      <c r="AO60" s="10"/>
    </row>
    <row r="61" spans="2:41" ht="12.75">
      <c r="B61" s="206" t="s">
        <v>116</v>
      </c>
      <c r="C61" s="207"/>
      <c r="D61" s="207"/>
      <c r="E61" s="207"/>
      <c r="F61" s="207"/>
      <c r="G61" s="207"/>
      <c r="H61" s="207"/>
      <c r="I61" s="208" t="s">
        <v>3</v>
      </c>
      <c r="J61" s="209"/>
      <c r="L61" s="35"/>
      <c r="R61" s="694">
        <f aca="true" t="shared" si="30" ref="R61:X76">J4</f>
        <v>26.618935185185183</v>
      </c>
      <c r="S61" s="696">
        <f t="shared" si="30"/>
        <v>0.0581468128792342</v>
      </c>
      <c r="T61" s="694">
        <f t="shared" si="30"/>
        <v>159.7136111111111</v>
      </c>
      <c r="U61" s="728">
        <f t="shared" si="30"/>
        <v>0.014796896701245293</v>
      </c>
      <c r="V61" s="694">
        <f t="shared" si="30"/>
        <v>479.1408333333333</v>
      </c>
      <c r="W61" s="694">
        <f t="shared" si="30"/>
        <v>1</v>
      </c>
      <c r="X61" s="694">
        <f t="shared" si="30"/>
        <v>3</v>
      </c>
      <c r="AE61" s="10"/>
      <c r="AF61" s="10"/>
      <c r="AG61" s="10"/>
      <c r="AH61" s="10"/>
      <c r="AI61" s="10"/>
      <c r="AJ61" s="10"/>
      <c r="AK61" s="10"/>
      <c r="AL61" s="10"/>
      <c r="AM61" s="10"/>
      <c r="AN61" s="10"/>
      <c r="AO61" s="10"/>
    </row>
    <row r="62" spans="2:41" ht="13.5" thickBot="1">
      <c r="B62" s="79" t="s">
        <v>249</v>
      </c>
      <c r="C62" s="156">
        <v>60</v>
      </c>
      <c r="D62" s="61" t="s">
        <v>78</v>
      </c>
      <c r="E62" s="519">
        <v>12</v>
      </c>
      <c r="F62" s="210" t="s">
        <v>114</v>
      </c>
      <c r="G62" s="211" t="s">
        <v>117</v>
      </c>
      <c r="H62" s="50"/>
      <c r="I62" s="50"/>
      <c r="J62" s="94"/>
      <c r="R62" s="694">
        <f t="shared" si="30"/>
        <v>0</v>
      </c>
      <c r="S62" s="696" t="e">
        <f t="shared" si="30"/>
        <v>#DIV/0!</v>
      </c>
      <c r="T62" s="694">
        <f t="shared" si="30"/>
        <v>0</v>
      </c>
      <c r="U62" s="728" t="e">
        <f t="shared" si="30"/>
        <v>#DIV/0!</v>
      </c>
      <c r="V62" s="694">
        <f t="shared" si="30"/>
        <v>0</v>
      </c>
      <c r="W62" s="694">
        <f t="shared" si="30"/>
        <v>4</v>
      </c>
      <c r="X62" s="694">
        <f t="shared" si="30"/>
        <v>3</v>
      </c>
      <c r="AE62" s="10"/>
      <c r="AF62" s="10"/>
      <c r="AG62" s="10"/>
      <c r="AH62" s="10"/>
      <c r="AI62" s="10"/>
      <c r="AJ62" s="10"/>
      <c r="AK62" s="10"/>
      <c r="AL62" s="10"/>
      <c r="AM62" s="10"/>
      <c r="AN62" s="10"/>
      <c r="AO62" s="10"/>
    </row>
    <row r="63" spans="2:41" ht="13.5" thickBot="1">
      <c r="B63" s="80" t="s">
        <v>217</v>
      </c>
      <c r="C63" s="569">
        <f>IF(E62="","",C62/((E62/2/12)^2*3.14159))</f>
        <v>76.39443721173036</v>
      </c>
      <c r="D63" s="50" t="s">
        <v>3</v>
      </c>
      <c r="E63" s="50" t="s">
        <v>3</v>
      </c>
      <c r="F63" s="50" t="s">
        <v>3</v>
      </c>
      <c r="G63" s="50" t="s">
        <v>3</v>
      </c>
      <c r="H63" s="169">
        <f>IF(E62&gt;0,(((H65)^2)*3.14159/43560),"")</f>
        <v>0.013089958333333334</v>
      </c>
      <c r="I63" s="50" t="s">
        <v>79</v>
      </c>
      <c r="J63" s="94"/>
      <c r="K63" s="708" t="s">
        <v>160</v>
      </c>
      <c r="L63" s="675"/>
      <c r="M63" s="675"/>
      <c r="N63" s="676"/>
      <c r="R63" s="694">
        <f t="shared" si="30"/>
        <v>7</v>
      </c>
      <c r="S63" s="696">
        <f t="shared" si="30"/>
        <v>0.11338934190276816</v>
      </c>
      <c r="T63" s="694">
        <f t="shared" si="30"/>
      </c>
      <c r="U63" s="728">
        <f t="shared" si="30"/>
      </c>
      <c r="V63" s="694">
        <f t="shared" si="30"/>
      </c>
      <c r="W63" s="694">
        <f t="shared" si="30"/>
        <v>7</v>
      </c>
      <c r="X63" s="694">
        <f t="shared" si="30"/>
        <v>3</v>
      </c>
      <c r="AE63" s="10"/>
      <c r="AF63" s="10"/>
      <c r="AG63" s="10"/>
      <c r="AH63" s="10"/>
      <c r="AI63" s="10"/>
      <c r="AJ63" s="10"/>
      <c r="AK63" s="10"/>
      <c r="AL63" s="10"/>
      <c r="AM63" s="10"/>
      <c r="AN63" s="10"/>
      <c r="AO63" s="10"/>
    </row>
    <row r="64" spans="2:41" ht="13.5" thickBot="1">
      <c r="B64" s="79"/>
      <c r="C64" s="50"/>
      <c r="D64" s="207"/>
      <c r="E64" s="212" t="s">
        <v>122</v>
      </c>
      <c r="F64" s="213" t="s">
        <v>185</v>
      </c>
      <c r="G64" s="214"/>
      <c r="H64" s="207" t="s">
        <v>3</v>
      </c>
      <c r="I64" s="207"/>
      <c r="J64" s="94"/>
      <c r="K64" s="723" t="s">
        <v>257</v>
      </c>
      <c r="L64" s="680"/>
      <c r="M64" s="680"/>
      <c r="N64" s="681"/>
      <c r="R64" s="694">
        <f t="shared" si="30"/>
        <v>10</v>
      </c>
      <c r="S64" s="696">
        <f t="shared" si="30"/>
        <v>0.09486832980505137</v>
      </c>
      <c r="T64" s="694">
        <f t="shared" si="30"/>
      </c>
      <c r="U64" s="728">
        <f t="shared" si="30"/>
      </c>
      <c r="V64" s="694">
        <f t="shared" si="30"/>
      </c>
      <c r="W64" s="694">
        <f t="shared" si="30"/>
        <v>10</v>
      </c>
      <c r="X64" s="694">
        <f t="shared" si="30"/>
        <v>3</v>
      </c>
      <c r="AE64" s="10"/>
      <c r="AF64" s="10"/>
      <c r="AG64" s="10"/>
      <c r="AH64" s="10"/>
      <c r="AI64" s="10"/>
      <c r="AJ64" s="10"/>
      <c r="AK64" s="10"/>
      <c r="AL64" s="10"/>
      <c r="AM64" s="10"/>
      <c r="AN64" s="10"/>
      <c r="AO64" s="10"/>
    </row>
    <row r="65" spans="2:41" ht="13.5" thickBot="1">
      <c r="B65" s="76"/>
      <c r="C65" s="61" t="s">
        <v>153</v>
      </c>
      <c r="D65" s="575">
        <f>(43560/C62)</f>
        <v>726</v>
      </c>
      <c r="E65" s="61" t="s">
        <v>184</v>
      </c>
      <c r="F65" s="166">
        <f>SQRT(43560/(C62))/2/12</f>
        <v>1.1226827987756234</v>
      </c>
      <c r="G65" s="215" t="s">
        <v>186</v>
      </c>
      <c r="H65" s="143">
        <f>IF(E62&gt;0,F65*E62,"")</f>
        <v>13.47219358530748</v>
      </c>
      <c r="I65" s="50" t="s">
        <v>203</v>
      </c>
      <c r="J65" s="94"/>
      <c r="R65" s="694">
        <f t="shared" si="30"/>
        <v>13</v>
      </c>
      <c r="S65" s="696">
        <f t="shared" si="30"/>
        <v>0.08320502943378437</v>
      </c>
      <c r="T65" s="694">
        <f t="shared" si="30"/>
      </c>
      <c r="U65" s="728">
        <f t="shared" si="30"/>
      </c>
      <c r="V65" s="694">
        <f t="shared" si="30"/>
      </c>
      <c r="W65" s="694">
        <f t="shared" si="30"/>
        <v>13</v>
      </c>
      <c r="X65" s="694">
        <f t="shared" si="30"/>
        <v>3</v>
      </c>
      <c r="AE65" s="10"/>
      <c r="AF65" s="10"/>
      <c r="AG65" s="10"/>
      <c r="AH65" s="10"/>
      <c r="AI65" s="10"/>
      <c r="AJ65" s="10"/>
      <c r="AK65" s="10"/>
      <c r="AL65" s="10"/>
      <c r="AM65" s="10"/>
      <c r="AN65" s="10"/>
      <c r="AO65" s="10"/>
    </row>
    <row r="66" spans="2:41" ht="13.5" thickBot="1">
      <c r="B66" s="571" t="s">
        <v>220</v>
      </c>
      <c r="C66" s="724">
        <f>2*DEGREES(ASIN(SQRT(1/D65)))</f>
        <v>4.2538685783306756</v>
      </c>
      <c r="D66" s="218" t="s">
        <v>219</v>
      </c>
      <c r="E66" s="217" t="s">
        <v>183</v>
      </c>
      <c r="F66" s="167">
        <f>F65-(1/24)</f>
        <v>1.0810161321089566</v>
      </c>
      <c r="G66" s="216" t="s">
        <v>186</v>
      </c>
      <c r="H66" s="174">
        <f>IF(E62&gt;0,F66*E62,"")</f>
        <v>12.97219358530748</v>
      </c>
      <c r="I66" s="95" t="s">
        <v>204</v>
      </c>
      <c r="J66" s="96"/>
      <c r="K66" s="574" t="s">
        <v>3</v>
      </c>
      <c r="R66" s="694">
        <f t="shared" si="30"/>
        <v>16</v>
      </c>
      <c r="S66" s="696">
        <f t="shared" si="30"/>
        <v>0.075</v>
      </c>
      <c r="T66" s="694">
        <f t="shared" si="30"/>
      </c>
      <c r="U66" s="728">
        <f t="shared" si="30"/>
      </c>
      <c r="V66" s="694">
        <f t="shared" si="30"/>
      </c>
      <c r="W66" s="694">
        <f t="shared" si="30"/>
        <v>16</v>
      </c>
      <c r="X66" s="694">
        <f t="shared" si="30"/>
        <v>3</v>
      </c>
      <c r="AE66" s="10"/>
      <c r="AF66" s="10"/>
      <c r="AG66" s="10"/>
      <c r="AH66" s="10"/>
      <c r="AI66" s="10"/>
      <c r="AJ66" s="10"/>
      <c r="AK66" s="10"/>
      <c r="AL66" s="10"/>
      <c r="AM66" s="10"/>
      <c r="AN66" s="10"/>
      <c r="AO66" s="10"/>
    </row>
    <row r="67" spans="16:41" ht="13.5" thickBot="1">
      <c r="P67" s="11"/>
      <c r="R67" s="694">
        <f t="shared" si="30"/>
        <v>19</v>
      </c>
      <c r="S67" s="694">
        <f t="shared" si="30"/>
        <v>0.06882472016116851</v>
      </c>
      <c r="T67" s="694">
        <f t="shared" si="30"/>
      </c>
      <c r="U67" s="728">
        <f t="shared" si="30"/>
      </c>
      <c r="V67" s="694">
        <f t="shared" si="30"/>
      </c>
      <c r="W67" s="694">
        <f t="shared" si="30"/>
        <v>19</v>
      </c>
      <c r="X67" s="694">
        <f t="shared" si="30"/>
        <v>3</v>
      </c>
      <c r="AE67" s="10"/>
      <c r="AF67" s="10"/>
      <c r="AG67" s="10"/>
      <c r="AH67" s="10"/>
      <c r="AI67" s="10"/>
      <c r="AJ67" s="10"/>
      <c r="AK67" s="10"/>
      <c r="AL67" s="10"/>
      <c r="AM67" s="10"/>
      <c r="AN67" s="10"/>
      <c r="AO67" s="10"/>
    </row>
    <row r="68" spans="2:41" ht="13.5" thickBot="1">
      <c r="B68" s="566"/>
      <c r="C68" s="567"/>
      <c r="D68" s="128"/>
      <c r="E68" s="86" t="s">
        <v>246</v>
      </c>
      <c r="F68" s="128"/>
      <c r="G68" s="128"/>
      <c r="H68" s="128"/>
      <c r="I68" s="128"/>
      <c r="J68" s="129"/>
      <c r="R68" s="694">
        <f t="shared" si="30"/>
        <v>22</v>
      </c>
      <c r="S68" s="694">
        <f t="shared" si="30"/>
        <v>0.06396021490668312</v>
      </c>
      <c r="T68" s="694">
        <f t="shared" si="30"/>
      </c>
      <c r="U68" s="728">
        <f t="shared" si="30"/>
      </c>
      <c r="V68" s="694">
        <f t="shared" si="30"/>
      </c>
      <c r="W68" s="694">
        <f t="shared" si="30"/>
        <v>22</v>
      </c>
      <c r="X68" s="694">
        <f t="shared" si="30"/>
        <v>3</v>
      </c>
      <c r="AE68" s="10"/>
      <c r="AF68" s="10"/>
      <c r="AG68" s="10"/>
      <c r="AH68" s="10"/>
      <c r="AI68" s="10"/>
      <c r="AJ68" s="10"/>
      <c r="AK68" s="10"/>
      <c r="AL68" s="10"/>
      <c r="AM68" s="10"/>
      <c r="AN68" s="10"/>
      <c r="AO68" s="10"/>
    </row>
    <row r="69" spans="2:41" ht="13.5" thickBot="1">
      <c r="B69" s="116" t="s">
        <v>248</v>
      </c>
      <c r="C69" s="156">
        <f>C62/4.356</f>
        <v>13.774104683195592</v>
      </c>
      <c r="D69" s="162" t="s">
        <v>78</v>
      </c>
      <c r="E69" s="572">
        <f>E62*2.54</f>
        <v>30.48</v>
      </c>
      <c r="F69" s="573" t="s">
        <v>115</v>
      </c>
      <c r="G69" s="162" t="s">
        <v>3</v>
      </c>
      <c r="H69" s="171">
        <f>IF(E69&gt;0,(((H72)^2)*3.14159),"")</f>
        <v>52.973181950198395</v>
      </c>
      <c r="I69" s="159" t="s">
        <v>80</v>
      </c>
      <c r="J69" s="157"/>
      <c r="R69" s="694">
        <f t="shared" si="30"/>
        <v>25</v>
      </c>
      <c r="S69" s="694">
        <f t="shared" si="30"/>
        <v>0.06</v>
      </c>
      <c r="T69" s="694">
        <f t="shared" si="30"/>
      </c>
      <c r="U69" s="728">
        <f t="shared" si="30"/>
      </c>
      <c r="V69" s="694">
        <f t="shared" si="30"/>
      </c>
      <c r="W69" s="694">
        <f t="shared" si="30"/>
        <v>25</v>
      </c>
      <c r="X69" s="694">
        <f t="shared" si="30"/>
        <v>3</v>
      </c>
      <c r="AE69" s="10"/>
      <c r="AF69" s="10"/>
      <c r="AG69" s="10"/>
      <c r="AH69" s="10"/>
      <c r="AI69" s="10"/>
      <c r="AJ69" s="10"/>
      <c r="AK69" s="10"/>
      <c r="AL69" s="10"/>
      <c r="AM69" s="10"/>
      <c r="AN69" s="10"/>
      <c r="AO69" s="10"/>
    </row>
    <row r="70" spans="2:41" ht="13.5" thickBot="1">
      <c r="B70" s="118" t="s">
        <v>218</v>
      </c>
      <c r="C70" s="568">
        <f>IF(E69="","",C69/((E69/100/2)^2*3.14159))</f>
        <v>188.7747654917404</v>
      </c>
      <c r="D70" s="161" t="s">
        <v>3</v>
      </c>
      <c r="E70" s="161" t="s">
        <v>3</v>
      </c>
      <c r="F70" s="161" t="s">
        <v>3</v>
      </c>
      <c r="G70" s="117" t="s">
        <v>99</v>
      </c>
      <c r="H70" s="172">
        <f>IF(E69&gt;0,(H69/10000),"")</f>
        <v>0.005297318195019839</v>
      </c>
      <c r="I70" s="115" t="s">
        <v>163</v>
      </c>
      <c r="J70" s="121"/>
      <c r="K70" s="682" t="s">
        <v>160</v>
      </c>
      <c r="L70" s="675"/>
      <c r="M70" s="675"/>
      <c r="N70" s="676"/>
      <c r="R70" s="694">
        <f t="shared" si="30"/>
        <v>28</v>
      </c>
      <c r="S70" s="694">
        <f t="shared" si="30"/>
        <v>0.05669467095138408</v>
      </c>
      <c r="T70" s="694">
        <f t="shared" si="30"/>
        <v>90.66037037037027</v>
      </c>
      <c r="U70" s="728">
        <f t="shared" si="30"/>
        <v>0.019639610121239326</v>
      </c>
      <c r="V70" s="694">
        <f t="shared" si="30"/>
        <v>349.3207407407406</v>
      </c>
      <c r="W70" s="694">
        <f t="shared" si="30"/>
        <v>28</v>
      </c>
      <c r="X70" s="694">
        <f t="shared" si="30"/>
        <v>3</v>
      </c>
      <c r="AE70" s="10"/>
      <c r="AF70" s="10"/>
      <c r="AG70" s="10"/>
      <c r="AH70" s="10"/>
      <c r="AI70" s="10"/>
      <c r="AJ70" s="10"/>
      <c r="AK70" s="10"/>
      <c r="AL70" s="10"/>
      <c r="AM70" s="10"/>
      <c r="AN70" s="10"/>
      <c r="AO70" s="10"/>
    </row>
    <row r="71" spans="2:41" ht="13.5" thickBot="1">
      <c r="B71" s="163"/>
      <c r="C71" s="159"/>
      <c r="D71" s="159"/>
      <c r="E71" s="165" t="s">
        <v>182</v>
      </c>
      <c r="F71" s="160" t="s">
        <v>81</v>
      </c>
      <c r="G71" s="159" t="s">
        <v>3</v>
      </c>
      <c r="H71" s="115"/>
      <c r="I71" s="159"/>
      <c r="J71" s="157"/>
      <c r="K71" s="677" t="s">
        <v>256</v>
      </c>
      <c r="L71" s="680"/>
      <c r="M71" s="680"/>
      <c r="N71" s="681"/>
      <c r="R71" s="694">
        <f t="shared" si="30"/>
        <v>31</v>
      </c>
      <c r="S71" s="694">
        <f t="shared" si="30"/>
        <v>0.05388159060803247</v>
      </c>
      <c r="T71" s="694">
        <f t="shared" si="30"/>
        <v>50.18699074074076</v>
      </c>
      <c r="U71" s="728">
        <f t="shared" si="30"/>
        <v>0.026396480703843588</v>
      </c>
      <c r="V71" s="694">
        <f t="shared" si="30"/>
        <v>286.3739814814815</v>
      </c>
      <c r="W71" s="694">
        <f t="shared" si="30"/>
        <v>31</v>
      </c>
      <c r="X71" s="694">
        <f t="shared" si="30"/>
        <v>3</v>
      </c>
      <c r="AE71" s="10"/>
      <c r="AF71" s="10"/>
      <c r="AG71" s="10"/>
      <c r="AH71" s="10"/>
      <c r="AI71" s="10"/>
      <c r="AJ71" s="10"/>
      <c r="AK71" s="10"/>
      <c r="AL71" s="10"/>
      <c r="AM71" s="10"/>
      <c r="AN71" s="10"/>
      <c r="AO71" s="10"/>
    </row>
    <row r="72" spans="2:41" ht="13.5" thickBot="1">
      <c r="B72" s="114"/>
      <c r="C72" s="570" t="s">
        <v>247</v>
      </c>
      <c r="D72" s="170">
        <f>(10000/C69)</f>
        <v>726</v>
      </c>
      <c r="E72" s="117" t="s">
        <v>155</v>
      </c>
      <c r="F72" s="166">
        <f>SQRT(10000/(C69))/2/100</f>
        <v>0.1347219358530748</v>
      </c>
      <c r="G72" s="133" t="s">
        <v>3</v>
      </c>
      <c r="H72" s="168">
        <f>IF(E69&gt;0,(F72*E$69),"")</f>
        <v>4.10632460480172</v>
      </c>
      <c r="I72" s="87" t="s">
        <v>187</v>
      </c>
      <c r="J72" s="121"/>
      <c r="R72" s="694">
        <f t="shared" si="30"/>
        <v>34</v>
      </c>
      <c r="S72" s="694">
        <f t="shared" si="30"/>
        <v>0.051449575542752646</v>
      </c>
      <c r="T72" s="694">
        <f t="shared" si="30"/>
        <v>36.69586419753085</v>
      </c>
      <c r="U72" s="728">
        <f t="shared" si="30"/>
        <v>0.030869745325651596</v>
      </c>
      <c r="V72" s="694">
        <f t="shared" si="30"/>
        <v>277.3917283950617</v>
      </c>
      <c r="W72" s="694">
        <f t="shared" si="30"/>
        <v>34</v>
      </c>
      <c r="X72" s="694">
        <f t="shared" si="30"/>
        <v>3</v>
      </c>
      <c r="AE72" s="10"/>
      <c r="AF72" s="10"/>
      <c r="AG72" s="10"/>
      <c r="AH72" s="10"/>
      <c r="AI72" s="10"/>
      <c r="AJ72" s="10"/>
      <c r="AK72" s="10"/>
      <c r="AL72" s="10"/>
      <c r="AM72" s="10"/>
      <c r="AN72" s="10"/>
      <c r="AO72" s="10"/>
    </row>
    <row r="73" spans="2:41" ht="13.5" thickBot="1">
      <c r="B73" s="492" t="s">
        <v>220</v>
      </c>
      <c r="C73" s="724">
        <f>2*DEGREES(ASIN(1/SQRT(D72)))</f>
        <v>4.2538685783306756</v>
      </c>
      <c r="D73" s="89" t="s">
        <v>219</v>
      </c>
      <c r="E73" s="161" t="s">
        <v>156</v>
      </c>
      <c r="F73" s="167">
        <f>F72-(1/200)</f>
        <v>0.1297219358530748</v>
      </c>
      <c r="G73" s="164" t="s">
        <v>3</v>
      </c>
      <c r="H73" s="174">
        <f>IF(E69&gt;0,F73*E69,"")</f>
        <v>3.9539246048017196</v>
      </c>
      <c r="I73" s="89" t="s">
        <v>188</v>
      </c>
      <c r="J73" s="138"/>
      <c r="K73" s="574" t="s">
        <v>3</v>
      </c>
      <c r="R73" s="694">
        <f t="shared" si="30"/>
        <v>37</v>
      </c>
      <c r="S73" s="694">
        <f t="shared" si="30"/>
        <v>0.049319696191607185</v>
      </c>
      <c r="T73" s="694">
        <f t="shared" si="30"/>
        <v>29.950300925925927</v>
      </c>
      <c r="U73" s="728">
        <f t="shared" si="30"/>
        <v>0.034169687847089965</v>
      </c>
      <c r="V73" s="694">
        <f t="shared" si="30"/>
        <v>281.90060185185183</v>
      </c>
      <c r="W73" s="694">
        <f t="shared" si="30"/>
        <v>37</v>
      </c>
      <c r="X73" s="694">
        <f t="shared" si="30"/>
        <v>3</v>
      </c>
      <c r="AE73" s="10"/>
      <c r="AF73" s="10"/>
      <c r="AG73" s="10"/>
      <c r="AH73" s="10"/>
      <c r="AI73" s="10"/>
      <c r="AJ73" s="10"/>
      <c r="AK73" s="10"/>
      <c r="AL73" s="10"/>
      <c r="AM73" s="10"/>
      <c r="AN73" s="10"/>
      <c r="AO73" s="10"/>
    </row>
    <row r="74" spans="18:41" ht="12.75">
      <c r="R74" s="694">
        <f t="shared" si="30"/>
        <v>40</v>
      </c>
      <c r="S74" s="694">
        <f t="shared" si="30"/>
        <v>0.04743416490252569</v>
      </c>
      <c r="T74" s="694">
        <f t="shared" si="30"/>
        <v>25.902962962962963</v>
      </c>
      <c r="U74" s="728">
        <f t="shared" si="30"/>
        <v>0.03674234614174767</v>
      </c>
      <c r="V74" s="694">
        <f t="shared" si="30"/>
        <v>291.8059259259259</v>
      </c>
      <c r="W74" s="694">
        <f t="shared" si="30"/>
        <v>40</v>
      </c>
      <c r="X74" s="694">
        <f t="shared" si="30"/>
        <v>3</v>
      </c>
      <c r="AE74" s="10"/>
      <c r="AF74" s="10"/>
      <c r="AG74" s="10"/>
      <c r="AH74" s="10"/>
      <c r="AI74" s="10"/>
      <c r="AJ74" s="10"/>
      <c r="AK74" s="10"/>
      <c r="AL74" s="10"/>
      <c r="AM74" s="10"/>
      <c r="AN74" s="10"/>
      <c r="AO74" s="10"/>
    </row>
    <row r="75" spans="18:41" ht="13.5" thickBot="1">
      <c r="R75" s="694">
        <f t="shared" si="30"/>
        <v>43</v>
      </c>
      <c r="S75" s="694">
        <f t="shared" si="30"/>
        <v>0.0457495710997814</v>
      </c>
      <c r="T75" s="694">
        <f t="shared" si="30"/>
        <v>23.204737654320997</v>
      </c>
      <c r="U75" s="728">
        <f t="shared" si="30"/>
        <v>0.038819798353237824</v>
      </c>
      <c r="V75" s="694">
        <f t="shared" si="30"/>
        <v>304.409475308642</v>
      </c>
      <c r="W75" s="694">
        <f t="shared" si="30"/>
        <v>43</v>
      </c>
      <c r="X75" s="694">
        <f t="shared" si="30"/>
        <v>3</v>
      </c>
      <c r="AE75" s="10"/>
      <c r="AF75" s="10"/>
      <c r="AG75" s="10"/>
      <c r="AH75" s="10"/>
      <c r="AI75" s="10"/>
      <c r="AJ75" s="10"/>
      <c r="AK75" s="10"/>
      <c r="AL75" s="10"/>
      <c r="AM75" s="10"/>
      <c r="AN75" s="10"/>
      <c r="AO75" s="10"/>
    </row>
    <row r="76" spans="1:41" ht="12.75">
      <c r="A76" s="686">
        <v>7</v>
      </c>
      <c r="B76" s="553" t="s">
        <v>143</v>
      </c>
      <c r="C76" s="554"/>
      <c r="D76" s="554"/>
      <c r="E76" s="554"/>
      <c r="F76" s="554"/>
      <c r="G76" s="554"/>
      <c r="H76" s="555"/>
      <c r="I76" s="576" t="s">
        <v>3</v>
      </c>
      <c r="R76" s="694">
        <f t="shared" si="30"/>
        <v>46</v>
      </c>
      <c r="S76" s="694">
        <f t="shared" si="30"/>
        <v>0.044232586846469135</v>
      </c>
      <c r="T76" s="694">
        <f t="shared" si="30"/>
        <v>21.27743386243386</v>
      </c>
      <c r="U76" s="728">
        <f t="shared" si="30"/>
        <v>0.040539835481530576</v>
      </c>
      <c r="V76" s="694">
        <f t="shared" si="30"/>
        <v>318.55486772486773</v>
      </c>
      <c r="W76" s="694">
        <f t="shared" si="30"/>
        <v>46</v>
      </c>
      <c r="X76" s="694">
        <f t="shared" si="30"/>
        <v>3</v>
      </c>
      <c r="AE76" s="10"/>
      <c r="AF76" s="10"/>
      <c r="AG76" s="10"/>
      <c r="AH76" s="10"/>
      <c r="AI76" s="10"/>
      <c r="AJ76" s="10"/>
      <c r="AK76" s="10"/>
      <c r="AL76" s="10"/>
      <c r="AM76" s="10"/>
      <c r="AN76" s="10"/>
      <c r="AO76" s="10"/>
    </row>
    <row r="77" spans="2:41" ht="12.75">
      <c r="B77" s="587" t="s">
        <v>222</v>
      </c>
      <c r="C77" s="556"/>
      <c r="D77" s="556"/>
      <c r="E77" s="556"/>
      <c r="F77" s="556"/>
      <c r="G77" s="556" t="s">
        <v>82</v>
      </c>
      <c r="H77" s="557"/>
      <c r="R77" s="694">
        <f>J20</f>
        <v>49</v>
      </c>
      <c r="S77" s="694">
        <f>K20</f>
        <v>0.04285714285714286</v>
      </c>
      <c r="T77" s="694">
        <f>L20</f>
        <v>19.83195601851852</v>
      </c>
      <c r="U77" s="728">
        <f>M20</f>
        <v>0.04199125273342591</v>
      </c>
      <c r="V77" s="694">
        <f>N20</f>
        <v>333.66391203703705</v>
      </c>
      <c r="W77" s="694">
        <f>O20</f>
        <v>49</v>
      </c>
      <c r="X77" s="694">
        <f>P20</f>
        <v>3</v>
      </c>
      <c r="AE77" s="10"/>
      <c r="AF77" s="10"/>
      <c r="AG77" s="10"/>
      <c r="AH77" s="10"/>
      <c r="AI77" s="10"/>
      <c r="AJ77" s="10"/>
      <c r="AK77" s="10"/>
      <c r="AL77" s="10"/>
      <c r="AM77" s="10"/>
      <c r="AN77" s="10"/>
      <c r="AO77" s="10"/>
    </row>
    <row r="78" spans="2:41" ht="12.75">
      <c r="B78" s="564" t="s">
        <v>205</v>
      </c>
      <c r="C78" s="562">
        <v>0.078</v>
      </c>
      <c r="D78" s="558" t="s">
        <v>83</v>
      </c>
      <c r="E78" s="74">
        <v>30</v>
      </c>
      <c r="F78" s="558" t="s">
        <v>84</v>
      </c>
      <c r="G78" s="561">
        <f>(C78*SQRT(E78))</f>
        <v>0.42722359485402955</v>
      </c>
      <c r="H78" s="557" t="s">
        <v>85</v>
      </c>
      <c r="R78" s="694">
        <f>J21</f>
        <v>52</v>
      </c>
      <c r="S78" s="694">
        <f>K21</f>
        <v>0.041602514716892185</v>
      </c>
      <c r="T78" s="694">
        <f>L21</f>
        <v>18.70769547325103</v>
      </c>
      <c r="U78" s="728">
        <f>M21</f>
        <v>0.043234601527373524</v>
      </c>
      <c r="V78" s="694">
        <f>N21</f>
        <v>349.41539094650204</v>
      </c>
      <c r="W78" s="694">
        <f>O21</f>
        <v>52</v>
      </c>
      <c r="X78" s="694">
        <f>P21</f>
        <v>3</v>
      </c>
      <c r="AE78" s="10"/>
      <c r="AF78" s="10"/>
      <c r="AG78" s="10"/>
      <c r="AH78" s="10"/>
      <c r="AI78" s="10"/>
      <c r="AJ78" s="10"/>
      <c r="AK78" s="10"/>
      <c r="AL78" s="10"/>
      <c r="AM78" s="10"/>
      <c r="AN78" s="10"/>
      <c r="AO78" s="10"/>
    </row>
    <row r="79" spans="2:41" ht="12.75">
      <c r="B79" s="564" t="s">
        <v>206</v>
      </c>
      <c r="C79" s="595">
        <f>SQRT(C80^2-C78^2)</f>
        <v>0.02529822128134705</v>
      </c>
      <c r="D79" s="558" t="s">
        <v>136</v>
      </c>
      <c r="E79" s="74">
        <v>120</v>
      </c>
      <c r="F79" s="559" t="s">
        <v>86</v>
      </c>
      <c r="G79" s="561">
        <f>SQRT((C80^2)-C78^2)*(SQRT(E79))</f>
        <v>0.27712812921102054</v>
      </c>
      <c r="H79" s="557" t="s">
        <v>85</v>
      </c>
      <c r="R79" s="694">
        <f>J22</f>
        <v>55</v>
      </c>
      <c r="S79" s="694">
        <f>K22</f>
        <v>0.04045199174779452</v>
      </c>
      <c r="T79" s="694">
        <f>L22</f>
        <v>17.808287037037033</v>
      </c>
      <c r="U79" s="728">
        <f>M22</f>
        <v>0.04431293675255979</v>
      </c>
      <c r="V79" s="694">
        <f>N22</f>
        <v>365.61657407407404</v>
      </c>
      <c r="W79" s="694">
        <f>O22</f>
        <v>55</v>
      </c>
      <c r="X79" s="694">
        <f>P22</f>
        <v>3</v>
      </c>
      <c r="AE79" s="10"/>
      <c r="AF79" s="10"/>
      <c r="AG79" s="10"/>
      <c r="AH79" s="10"/>
      <c r="AI79" s="10"/>
      <c r="AJ79" s="10"/>
      <c r="AK79" s="10"/>
      <c r="AL79" s="10"/>
      <c r="AM79" s="10"/>
      <c r="AN79" s="10"/>
      <c r="AO79" s="10"/>
    </row>
    <row r="80" spans="2:41" ht="13.5" thickBot="1">
      <c r="B80" s="565" t="s">
        <v>207</v>
      </c>
      <c r="C80" s="563">
        <v>0.082</v>
      </c>
      <c r="D80" s="560"/>
      <c r="E80" s="560"/>
      <c r="F80" s="560"/>
      <c r="G80" s="560"/>
      <c r="H80" s="238"/>
      <c r="R80" s="694">
        <f>J23</f>
        <v>58</v>
      </c>
      <c r="S80" s="694">
        <f>K23</f>
        <v>0.039391929857916765</v>
      </c>
      <c r="T80" s="694">
        <f>L23</f>
        <v>17.072407407407404</v>
      </c>
      <c r="U80" s="728">
        <f>M23</f>
        <v>0.04525788176736695</v>
      </c>
      <c r="V80" s="694">
        <f>N23</f>
        <v>382.1448148148148</v>
      </c>
      <c r="W80" s="694">
        <f>O23</f>
        <v>58</v>
      </c>
      <c r="X80" s="694">
        <f>P23</f>
        <v>3</v>
      </c>
      <c r="AE80" s="10"/>
      <c r="AF80" s="10"/>
      <c r="AG80" s="10"/>
      <c r="AH80" s="10"/>
      <c r="AI80" s="10"/>
      <c r="AJ80" s="10"/>
      <c r="AK80" s="10"/>
      <c r="AL80" s="10"/>
      <c r="AM80" s="10"/>
      <c r="AN80" s="10"/>
      <c r="AO80" s="10"/>
    </row>
    <row r="81" spans="18:41" ht="13.5" thickBot="1">
      <c r="R81" s="694">
        <f>J24</f>
        <v>61</v>
      </c>
      <c r="S81" s="694">
        <f>K24</f>
        <v>0.03841106397986879</v>
      </c>
      <c r="T81" s="694">
        <f>L24</f>
        <v>16.45917438271605</v>
      </c>
      <c r="U81" s="728">
        <f>M24</f>
        <v>0.046093276775842545</v>
      </c>
      <c r="V81" s="694">
        <f>N24</f>
        <v>398.9183487654321</v>
      </c>
      <c r="W81" s="694">
        <f>O24</f>
        <v>61</v>
      </c>
      <c r="X81" s="694">
        <f>P24</f>
        <v>3</v>
      </c>
      <c r="AE81" s="10"/>
      <c r="AF81" s="10"/>
      <c r="AG81" s="10"/>
      <c r="AH81" s="10"/>
      <c r="AI81" s="10"/>
      <c r="AJ81" s="10"/>
      <c r="AK81" s="10"/>
      <c r="AL81" s="10"/>
      <c r="AM81" s="10"/>
      <c r="AN81" s="10"/>
      <c r="AO81" s="10"/>
    </row>
    <row r="82" spans="1:41" ht="14.25" thickBot="1" thickTop="1">
      <c r="A82" s="686">
        <v>8</v>
      </c>
      <c r="B82" s="521" t="s">
        <v>244</v>
      </c>
      <c r="C82" s="522"/>
      <c r="D82" s="522"/>
      <c r="E82" s="522"/>
      <c r="F82" s="522"/>
      <c r="G82" s="522"/>
      <c r="H82" s="522"/>
      <c r="I82" s="523"/>
      <c r="AE82" s="10"/>
      <c r="AF82" s="10"/>
      <c r="AG82" s="10"/>
      <c r="AH82" s="10"/>
      <c r="AI82" s="10"/>
      <c r="AJ82" s="10"/>
      <c r="AK82" s="10"/>
      <c r="AL82" s="10"/>
      <c r="AM82" s="10"/>
      <c r="AN82" s="10"/>
      <c r="AO82" s="10"/>
    </row>
    <row r="83" spans="2:41" ht="13.5" thickTop="1">
      <c r="B83" s="524"/>
      <c r="C83" s="525" t="s">
        <v>0</v>
      </c>
      <c r="D83" s="525"/>
      <c r="E83" s="525" t="s">
        <v>1</v>
      </c>
      <c r="F83" s="525"/>
      <c r="G83" s="525"/>
      <c r="H83" s="525" t="s">
        <v>2</v>
      </c>
      <c r="I83" s="526"/>
      <c r="K83" s="11"/>
      <c r="L83" s="11"/>
      <c r="M83" s="11"/>
      <c r="N83" s="11"/>
      <c r="O83" s="11"/>
      <c r="AE83" s="10"/>
      <c r="AF83" s="10"/>
      <c r="AG83" s="10"/>
      <c r="AH83" s="10"/>
      <c r="AI83" s="10"/>
      <c r="AJ83" s="10"/>
      <c r="AK83" s="10"/>
      <c r="AL83" s="10"/>
      <c r="AM83" s="10"/>
      <c r="AN83" s="10"/>
      <c r="AO83" s="10"/>
    </row>
    <row r="84" spans="2:41" ht="12.75">
      <c r="B84" s="598" t="s">
        <v>223</v>
      </c>
      <c r="C84" s="528">
        <f>C3</f>
        <v>0.3</v>
      </c>
      <c r="D84" s="529" t="s">
        <v>3</v>
      </c>
      <c r="E84" s="530">
        <f>E3</f>
        <v>6</v>
      </c>
      <c r="F84" s="529" t="s">
        <v>4</v>
      </c>
      <c r="G84" s="529"/>
      <c r="H84" s="531">
        <f aca="true" t="shared" si="31" ref="H84:I87">H3</f>
        <v>0</v>
      </c>
      <c r="I84" s="713" t="str">
        <f t="shared" si="31"/>
        <v>comment 1</v>
      </c>
      <c r="K84" s="11"/>
      <c r="L84" s="11"/>
      <c r="M84" s="11"/>
      <c r="N84" s="11"/>
      <c r="O84" s="11"/>
      <c r="AE84" s="10"/>
      <c r="AF84" s="10"/>
      <c r="AG84" s="10"/>
      <c r="AH84" s="10"/>
      <c r="AI84" s="10"/>
      <c r="AJ84" s="10"/>
      <c r="AK84" s="10"/>
      <c r="AL84" s="10"/>
      <c r="AM84" s="10"/>
      <c r="AN84" s="10"/>
      <c r="AO84" s="10"/>
    </row>
    <row r="85" spans="2:41" ht="12.75">
      <c r="B85" s="527"/>
      <c r="C85" s="529"/>
      <c r="D85" s="529"/>
      <c r="E85" s="529" t="s">
        <v>3</v>
      </c>
      <c r="F85" s="529"/>
      <c r="G85" s="529"/>
      <c r="H85" s="531">
        <f t="shared" si="31"/>
        <v>0</v>
      </c>
      <c r="I85" s="713" t="str">
        <f t="shared" si="31"/>
        <v> comment 2</v>
      </c>
      <c r="K85" s="11"/>
      <c r="L85" s="11"/>
      <c r="M85" s="11"/>
      <c r="N85" s="11"/>
      <c r="O85" s="11"/>
      <c r="AE85" s="10"/>
      <c r="AF85" s="10"/>
      <c r="AG85" s="10"/>
      <c r="AH85" s="10"/>
      <c r="AI85" s="10"/>
      <c r="AJ85" s="10"/>
      <c r="AK85" s="10"/>
      <c r="AL85" s="10"/>
      <c r="AM85" s="10"/>
      <c r="AN85" s="10"/>
      <c r="AO85" s="10"/>
    </row>
    <row r="86" spans="1:41" ht="13.5" thickBot="1">
      <c r="A86" s="5"/>
      <c r="B86" s="599" t="s">
        <v>224</v>
      </c>
      <c r="C86" s="528">
        <f>C5</f>
        <v>0.187</v>
      </c>
      <c r="D86" s="529" t="s">
        <v>3</v>
      </c>
      <c r="E86" s="530">
        <f>E5</f>
        <v>2</v>
      </c>
      <c r="F86" s="529" t="s">
        <v>5</v>
      </c>
      <c r="G86" s="529"/>
      <c r="H86" s="533">
        <f t="shared" si="31"/>
        <v>0</v>
      </c>
      <c r="I86" s="713" t="str">
        <f t="shared" si="31"/>
        <v> comment 3</v>
      </c>
      <c r="K86" s="11"/>
      <c r="L86" s="11"/>
      <c r="M86" s="11"/>
      <c r="N86" s="11"/>
      <c r="O86" s="11"/>
      <c r="AE86" s="10"/>
      <c r="AF86" s="10"/>
      <c r="AG86" s="10"/>
      <c r="AH86" s="10"/>
      <c r="AI86" s="10"/>
      <c r="AJ86" s="10"/>
      <c r="AK86" s="10"/>
      <c r="AL86" s="10"/>
      <c r="AM86" s="10"/>
      <c r="AN86" s="10"/>
      <c r="AO86" s="10"/>
    </row>
    <row r="87" spans="1:41" ht="14.25" thickBot="1" thickTop="1">
      <c r="A87" s="5"/>
      <c r="B87" s="527" t="s">
        <v>3</v>
      </c>
      <c r="C87" s="529" t="s">
        <v>3</v>
      </c>
      <c r="D87" s="529" t="s">
        <v>3</v>
      </c>
      <c r="E87" s="529" t="s">
        <v>3</v>
      </c>
      <c r="F87" s="534" t="s">
        <v>3</v>
      </c>
      <c r="G87" s="529" t="s">
        <v>3</v>
      </c>
      <c r="H87" s="535">
        <f t="shared" si="31"/>
        <v>0</v>
      </c>
      <c r="I87" s="536" t="str">
        <f t="shared" si="31"/>
        <v>= total</v>
      </c>
      <c r="K87" s="11"/>
      <c r="L87" s="11"/>
      <c r="M87" s="11"/>
      <c r="N87" s="11"/>
      <c r="O87" s="11"/>
      <c r="AE87" s="10"/>
      <c r="AF87" s="10"/>
      <c r="AG87" s="10"/>
      <c r="AH87" s="10"/>
      <c r="AI87" s="10"/>
      <c r="AJ87" s="10"/>
      <c r="AK87" s="10"/>
      <c r="AL87" s="10"/>
      <c r="AM87" s="10"/>
      <c r="AN87" s="10"/>
      <c r="AO87" s="10"/>
    </row>
    <row r="88" spans="1:41" ht="13.5" thickBot="1">
      <c r="A88" s="5"/>
      <c r="B88" s="527"/>
      <c r="C88" s="529"/>
      <c r="D88" s="537" t="s">
        <v>196</v>
      </c>
      <c r="E88" s="538" t="e">
        <f>C15/C16</f>
        <v>#DIV/0!</v>
      </c>
      <c r="F88" s="529" t="s">
        <v>119</v>
      </c>
      <c r="G88" s="529"/>
      <c r="H88" s="529"/>
      <c r="I88" s="539"/>
      <c r="AE88" s="10"/>
      <c r="AF88" s="10"/>
      <c r="AG88" s="10"/>
      <c r="AH88" s="10"/>
      <c r="AI88" s="10"/>
      <c r="AJ88" s="10"/>
      <c r="AK88" s="10"/>
      <c r="AL88" s="10"/>
      <c r="AM88" s="10"/>
      <c r="AN88" s="10"/>
      <c r="AO88" s="10"/>
    </row>
    <row r="89" spans="1:41" ht="12.75">
      <c r="A89" s="5"/>
      <c r="B89" s="527"/>
      <c r="C89" s="529"/>
      <c r="D89" s="529"/>
      <c r="E89" s="540"/>
      <c r="F89" s="541"/>
      <c r="G89" s="542" t="s">
        <v>198</v>
      </c>
      <c r="H89" s="540">
        <f>C15</f>
        <v>0</v>
      </c>
      <c r="I89" s="539"/>
      <c r="AE89" s="10"/>
      <c r="AF89" s="10"/>
      <c r="AG89" s="10"/>
      <c r="AH89" s="10"/>
      <c r="AI89" s="10"/>
      <c r="AJ89" s="10"/>
      <c r="AK89" s="10"/>
      <c r="AL89" s="10"/>
      <c r="AM89" s="10"/>
      <c r="AN89" s="10"/>
      <c r="AO89" s="10"/>
    </row>
    <row r="90" spans="1:41" ht="12.75">
      <c r="A90" s="5"/>
      <c r="B90" s="532" t="s">
        <v>7</v>
      </c>
      <c r="C90" s="529"/>
      <c r="D90" s="543">
        <f>D9</f>
        <v>0.06</v>
      </c>
      <c r="E90" s="529" t="s">
        <v>3</v>
      </c>
      <c r="F90" s="529"/>
      <c r="G90" s="542" t="s">
        <v>197</v>
      </c>
      <c r="H90" s="540">
        <f>C16</f>
        <v>0</v>
      </c>
      <c r="I90" s="539"/>
      <c r="AE90" s="10"/>
      <c r="AF90" s="10"/>
      <c r="AG90" s="10"/>
      <c r="AH90" s="10"/>
      <c r="AI90" s="10"/>
      <c r="AJ90" s="10"/>
      <c r="AK90" s="10"/>
      <c r="AL90" s="10"/>
      <c r="AM90" s="10"/>
      <c r="AN90" s="10"/>
      <c r="AO90" s="10"/>
    </row>
    <row r="91" spans="1:41" ht="12.75">
      <c r="A91" s="5"/>
      <c r="B91" s="527" t="s">
        <v>3</v>
      </c>
      <c r="C91" s="529"/>
      <c r="D91" s="529"/>
      <c r="E91" s="529"/>
      <c r="F91" s="529"/>
      <c r="G91" s="529"/>
      <c r="H91" s="529"/>
      <c r="I91" s="539"/>
      <c r="AE91" s="10"/>
      <c r="AF91" s="10"/>
      <c r="AG91" s="10"/>
      <c r="AH91" s="10"/>
      <c r="AI91" s="10"/>
      <c r="AJ91" s="10"/>
      <c r="AK91" s="10"/>
      <c r="AL91" s="10"/>
      <c r="AM91" s="10"/>
      <c r="AN91" s="10"/>
      <c r="AO91" s="10"/>
    </row>
    <row r="92" spans="1:41" ht="12.75">
      <c r="A92" s="5"/>
      <c r="B92" s="544" t="s">
        <v>8</v>
      </c>
      <c r="C92" s="545" t="e">
        <f>(C93*E88)</f>
        <v>#DIV/0!</v>
      </c>
      <c r="D92" s="546" t="s">
        <v>9</v>
      </c>
      <c r="E92" s="547" t="e">
        <f>(C84/(SQRT(C92)))</f>
        <v>#DIV/0!</v>
      </c>
      <c r="F92" s="542" t="s">
        <v>10</v>
      </c>
      <c r="G92" s="548" t="e">
        <f>(C92*E84)+(C93*E86)+H84+H85+H86</f>
        <v>#DIV/0!</v>
      </c>
      <c r="H92" s="542"/>
      <c r="I92" s="549"/>
      <c r="AE92" s="10"/>
      <c r="AF92" s="10"/>
      <c r="AG92" s="10"/>
      <c r="AH92" s="10"/>
      <c r="AI92" s="10"/>
      <c r="AJ92" s="10"/>
      <c r="AK92" s="10"/>
      <c r="AL92" s="10"/>
      <c r="AM92" s="10"/>
      <c r="AN92" s="10"/>
      <c r="AO92" s="10"/>
    </row>
    <row r="93" spans="1:41" ht="13.5" thickBot="1">
      <c r="A93" s="5"/>
      <c r="B93" s="544" t="s">
        <v>12</v>
      </c>
      <c r="C93" s="545" t="e">
        <f>((C84*C84)+(C86*C86*E88))/(D90*D90*E88)</f>
        <v>#DIV/0!</v>
      </c>
      <c r="D93" s="546" t="s">
        <v>13</v>
      </c>
      <c r="E93" s="552" t="e">
        <f>(C86/(SQRT(C93)))</f>
        <v>#DIV/0!</v>
      </c>
      <c r="F93" s="529"/>
      <c r="G93" s="529"/>
      <c r="H93" s="550"/>
      <c r="I93" s="551"/>
      <c r="AE93" s="10"/>
      <c r="AF93" s="10"/>
      <c r="AG93" s="10"/>
      <c r="AH93" s="10"/>
      <c r="AI93" s="10"/>
      <c r="AJ93" s="10"/>
      <c r="AK93" s="10"/>
      <c r="AL93" s="10"/>
      <c r="AM93" s="10"/>
      <c r="AN93" s="10"/>
      <c r="AO93" s="10"/>
    </row>
    <row r="94" spans="1:41" ht="14.25" thickBot="1" thickTop="1">
      <c r="A94" s="5"/>
      <c r="B94" s="601"/>
      <c r="C94" s="602"/>
      <c r="D94" s="603" t="s">
        <v>150</v>
      </c>
      <c r="E94" s="604" t="e">
        <f>SQRT(E93^2+E92^2)</f>
        <v>#DIV/0!</v>
      </c>
      <c r="F94" s="602"/>
      <c r="G94" s="602"/>
      <c r="H94" s="602"/>
      <c r="I94" s="605"/>
      <c r="N94" s="38"/>
      <c r="O94" s="38"/>
      <c r="P94" s="38"/>
      <c r="Q94" s="38"/>
      <c r="AE94" s="10"/>
      <c r="AF94" s="10"/>
      <c r="AG94" s="10"/>
      <c r="AH94" s="10"/>
      <c r="AI94" s="10"/>
      <c r="AJ94" s="10"/>
      <c r="AK94" s="10"/>
      <c r="AL94" s="10"/>
      <c r="AM94" s="10"/>
      <c r="AN94" s="10"/>
      <c r="AO94" s="10"/>
    </row>
    <row r="95" spans="14:41" ht="12.75">
      <c r="N95" s="38"/>
      <c r="O95" s="38"/>
      <c r="P95" s="38"/>
      <c r="Q95" s="38"/>
      <c r="AE95" s="10"/>
      <c r="AF95" s="10"/>
      <c r="AG95" s="10"/>
      <c r="AH95" s="10"/>
      <c r="AI95" s="10"/>
      <c r="AJ95" s="10"/>
      <c r="AK95" s="10"/>
      <c r="AL95" s="10"/>
      <c r="AM95" s="10"/>
      <c r="AN95" s="10"/>
      <c r="AO95" s="10"/>
    </row>
    <row r="96" spans="1:41" ht="12.75">
      <c r="A96" s="686">
        <v>9</v>
      </c>
      <c r="B96" s="619" t="s">
        <v>239</v>
      </c>
      <c r="C96" s="620"/>
      <c r="D96" s="616"/>
      <c r="E96" s="623" t="s">
        <v>237</v>
      </c>
      <c r="F96" s="614">
        <v>20</v>
      </c>
      <c r="G96" s="616"/>
      <c r="H96" s="616"/>
      <c r="I96" s="617"/>
      <c r="N96" s="38"/>
      <c r="O96" s="38"/>
      <c r="P96" s="38"/>
      <c r="Q96" s="38"/>
      <c r="AE96" s="10"/>
      <c r="AF96" s="10"/>
      <c r="AG96" s="10"/>
      <c r="AH96" s="10"/>
      <c r="AI96" s="10"/>
      <c r="AJ96" s="10"/>
      <c r="AK96" s="10"/>
      <c r="AL96" s="10"/>
      <c r="AM96" s="10"/>
      <c r="AN96" s="10"/>
      <c r="AO96" s="10"/>
    </row>
    <row r="97" spans="2:41" ht="12.75">
      <c r="B97" s="621" t="s">
        <v>238</v>
      </c>
      <c r="C97" s="622"/>
      <c r="D97" s="618"/>
      <c r="E97" s="624" t="s">
        <v>235</v>
      </c>
      <c r="F97" s="615">
        <v>30</v>
      </c>
      <c r="G97" s="618"/>
      <c r="H97" s="624" t="s">
        <v>236</v>
      </c>
      <c r="I97" s="613">
        <f>(SQRT(F96)+SQRT(F97))^2</f>
        <v>98.98979485566359</v>
      </c>
      <c r="N97" s="38"/>
      <c r="O97" s="38"/>
      <c r="P97" s="38"/>
      <c r="Q97" s="38"/>
      <c r="AE97" s="10"/>
      <c r="AF97" s="10"/>
      <c r="AG97" s="10"/>
      <c r="AH97" s="10"/>
      <c r="AI97" s="10"/>
      <c r="AJ97" s="10"/>
      <c r="AK97" s="10"/>
      <c r="AL97" s="10"/>
      <c r="AM97" s="10"/>
      <c r="AN97" s="10"/>
      <c r="AO97" s="10"/>
    </row>
    <row r="98" spans="14:41" ht="12.75">
      <c r="N98" s="38"/>
      <c r="O98" s="38"/>
      <c r="P98" s="38"/>
      <c r="Q98" s="38"/>
      <c r="AE98" s="10"/>
      <c r="AF98" s="10"/>
      <c r="AG98" s="10"/>
      <c r="AH98" s="10"/>
      <c r="AI98" s="10"/>
      <c r="AJ98" s="10"/>
      <c r="AK98" s="10"/>
      <c r="AL98" s="10"/>
      <c r="AM98" s="10"/>
      <c r="AN98" s="10"/>
      <c r="AO98" s="10"/>
    </row>
    <row r="99" spans="14:41" ht="12.75">
      <c r="N99" s="38"/>
      <c r="O99" s="38"/>
      <c r="P99" s="38"/>
      <c r="Q99" s="38"/>
      <c r="AE99" s="10"/>
      <c r="AF99" s="10"/>
      <c r="AG99" s="10"/>
      <c r="AH99" s="10"/>
      <c r="AI99" s="10"/>
      <c r="AJ99" s="10"/>
      <c r="AK99" s="10"/>
      <c r="AL99" s="10"/>
      <c r="AM99" s="10"/>
      <c r="AN99" s="10"/>
      <c r="AO99" s="10"/>
    </row>
    <row r="100" spans="1:45" s="24" customFormat="1" ht="12.75">
      <c r="A100" s="688"/>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4:41" ht="12.75">
      <c r="D101" s="339" t="s">
        <v>195</v>
      </c>
      <c r="AE101" s="10"/>
      <c r="AF101" s="10"/>
      <c r="AG101" s="10"/>
      <c r="AH101" s="10"/>
      <c r="AI101" s="10"/>
      <c r="AJ101" s="10"/>
      <c r="AK101" s="10"/>
      <c r="AL101" s="10"/>
      <c r="AM101" s="10"/>
      <c r="AN101" s="10"/>
      <c r="AO101" s="10"/>
    </row>
    <row r="102" spans="2:41" ht="13.5" thickBot="1">
      <c r="B102" s="11" t="s">
        <v>3</v>
      </c>
      <c r="G102" s="11" t="s">
        <v>3</v>
      </c>
      <c r="AE102" s="10"/>
      <c r="AF102" s="10"/>
      <c r="AG102" s="10"/>
      <c r="AH102" s="10"/>
      <c r="AI102" s="10"/>
      <c r="AJ102" s="10"/>
      <c r="AK102" s="10"/>
      <c r="AL102" s="10"/>
      <c r="AM102" s="10"/>
      <c r="AN102" s="10"/>
      <c r="AO102" s="10"/>
    </row>
    <row r="103" spans="1:41" ht="14.25" thickBot="1" thickTop="1">
      <c r="A103" s="686">
        <f>A1</f>
        <v>1</v>
      </c>
      <c r="B103" s="343" t="str">
        <f>B1</f>
        <v>                        Optimum Calculation of TC vs. *BAR plots  : Sept, 2006</v>
      </c>
      <c r="C103" s="344"/>
      <c r="D103" s="344"/>
      <c r="E103" s="344"/>
      <c r="F103" s="344"/>
      <c r="G103" s="344"/>
      <c r="H103" s="344"/>
      <c r="I103" s="345"/>
      <c r="AE103" s="10"/>
      <c r="AF103" s="10"/>
      <c r="AG103" s="10"/>
      <c r="AH103" s="10"/>
      <c r="AI103" s="10"/>
      <c r="AJ103" s="10"/>
      <c r="AK103" s="10"/>
      <c r="AL103" s="10"/>
      <c r="AM103" s="10"/>
      <c r="AN103" s="10"/>
      <c r="AO103" s="10"/>
    </row>
    <row r="104" spans="2:41" ht="12.75">
      <c r="B104" s="346"/>
      <c r="C104" s="347" t="s">
        <v>0</v>
      </c>
      <c r="D104" s="348"/>
      <c r="E104" s="347" t="str">
        <f>E2</f>
        <v>   Measurement Costs</v>
      </c>
      <c r="F104" s="348"/>
      <c r="G104" s="348"/>
      <c r="H104" s="347" t="str">
        <f>H2</f>
        <v>  Fixed costs:</v>
      </c>
      <c r="I104" s="349"/>
      <c r="AE104" s="10"/>
      <c r="AF104" s="10"/>
      <c r="AG104" s="10"/>
      <c r="AH104" s="10"/>
      <c r="AI104" s="10"/>
      <c r="AJ104" s="10"/>
      <c r="AK104" s="10"/>
      <c r="AL104" s="10"/>
      <c r="AM104" s="10"/>
      <c r="AN104" s="10"/>
      <c r="AO104" s="10"/>
    </row>
    <row r="105" spans="2:9" ht="12.75">
      <c r="B105" s="363" t="str">
        <f>B3</f>
        <v>        CV(TC)</v>
      </c>
      <c r="C105" s="221">
        <f>C3</f>
        <v>0.3</v>
      </c>
      <c r="D105" s="84" t="s">
        <v>3</v>
      </c>
      <c r="E105" s="64">
        <f>E3</f>
        <v>6</v>
      </c>
      <c r="F105" s="84" t="str">
        <f>F3</f>
        <v>= Cost (TC) </v>
      </c>
      <c r="G105" s="84"/>
      <c r="H105" s="337">
        <f>H3</f>
        <v>0</v>
      </c>
      <c r="I105" s="712" t="str">
        <f>I3</f>
        <v>comment 1</v>
      </c>
    </row>
    <row r="106" spans="2:9" ht="12.75">
      <c r="B106" s="358"/>
      <c r="C106" s="84"/>
      <c r="D106" s="84"/>
      <c r="E106" s="84" t="s">
        <v>3</v>
      </c>
      <c r="F106" s="84"/>
      <c r="G106" s="84"/>
      <c r="H106" s="337">
        <f>H4</f>
        <v>0</v>
      </c>
      <c r="I106" s="712" t="str">
        <f>I4</f>
        <v> comment 2</v>
      </c>
    </row>
    <row r="107" spans="2:9" ht="13.5" thickBot="1">
      <c r="B107" s="361" t="str">
        <f>B5</f>
        <v>         CV(*BAR)</v>
      </c>
      <c r="C107" s="221">
        <f>C5</f>
        <v>0.187</v>
      </c>
      <c r="D107" s="84" t="s">
        <v>3</v>
      </c>
      <c r="E107" s="64">
        <f>E5</f>
        <v>2</v>
      </c>
      <c r="F107" s="84" t="str">
        <f>F5</f>
        <v>= Cost (*BAR) </v>
      </c>
      <c r="G107" s="84"/>
      <c r="H107" s="338">
        <f>H5</f>
        <v>0</v>
      </c>
      <c r="I107" s="712" t="str">
        <f>I5</f>
        <v> comment 3</v>
      </c>
    </row>
    <row r="108" spans="2:9" ht="13.5" thickTop="1">
      <c r="B108" s="358" t="s">
        <v>3</v>
      </c>
      <c r="C108" s="84" t="s">
        <v>3</v>
      </c>
      <c r="D108" s="84" t="s">
        <v>3</v>
      </c>
      <c r="E108" s="84" t="s">
        <v>3</v>
      </c>
      <c r="F108" s="350" t="s">
        <v>3</v>
      </c>
      <c r="G108" s="84" t="s">
        <v>3</v>
      </c>
      <c r="H108" s="276">
        <f>H6</f>
        <v>0</v>
      </c>
      <c r="I108" s="354" t="s">
        <v>93</v>
      </c>
    </row>
    <row r="109" spans="2:9" ht="12.75">
      <c r="B109" s="362"/>
      <c r="C109" s="84"/>
      <c r="D109" s="351" t="str">
        <f aca="true" t="shared" si="32" ref="D109:F110">D7</f>
        <v>     Ratio for lowest cost answer ==&gt;</v>
      </c>
      <c r="E109" s="270">
        <f t="shared" si="32"/>
        <v>0.9262303783790788</v>
      </c>
      <c r="F109" s="84" t="str">
        <f t="shared" si="32"/>
        <v> TC per *BAR</v>
      </c>
      <c r="G109" s="84"/>
      <c r="H109" s="84"/>
      <c r="I109" s="355" t="s">
        <v>3</v>
      </c>
    </row>
    <row r="110" spans="2:9" ht="12.75">
      <c r="B110" s="362"/>
      <c r="C110" s="84"/>
      <c r="D110" s="84" t="str">
        <f t="shared" si="32"/>
        <v>which is =&gt;</v>
      </c>
      <c r="E110" s="271">
        <f t="shared" si="32"/>
        <v>1.0796450033846001</v>
      </c>
      <c r="F110" s="84" t="str">
        <f t="shared" si="32"/>
        <v> *BAR /TC</v>
      </c>
      <c r="G110" s="85"/>
      <c r="H110" s="351" t="str">
        <f aca="true" t="shared" si="33" ref="H110:I114">H8</f>
        <v>    "Big BAF" Multiplier =</v>
      </c>
      <c r="I110" s="277">
        <f t="shared" si="33"/>
        <v>5.5573822702744735</v>
      </c>
    </row>
    <row r="111" spans="2:9" ht="12.75">
      <c r="B111" s="361"/>
      <c r="C111" s="612" t="str">
        <f>C9</f>
        <v>  Desired SEc% (Total)==&gt;</v>
      </c>
      <c r="D111" s="221">
        <f>D9</f>
        <v>0.06</v>
      </c>
      <c r="E111" s="84" t="s">
        <v>3</v>
      </c>
      <c r="F111" s="84"/>
      <c r="G111" s="84" t="s">
        <v>3</v>
      </c>
      <c r="I111" s="355" t="s">
        <v>3</v>
      </c>
    </row>
    <row r="112" spans="2:9" ht="12.75">
      <c r="B112" s="358" t="s">
        <v>3</v>
      </c>
      <c r="C112" s="84"/>
      <c r="D112" s="84"/>
      <c r="E112" s="84"/>
      <c r="F112" s="84"/>
      <c r="G112" s="84"/>
      <c r="I112" s="355" t="s">
        <v>3</v>
      </c>
    </row>
    <row r="113" spans="2:9" ht="13.5" customHeight="1">
      <c r="B113" s="359" t="str">
        <f aca="true" t="shared" si="34" ref="B113:G113">B11</f>
        <v>n points</v>
      </c>
      <c r="C113" s="270">
        <f t="shared" si="34"/>
        <v>33.99704169487167</v>
      </c>
      <c r="D113" s="356" t="str">
        <f t="shared" si="34"/>
        <v>SE% (TC)</v>
      </c>
      <c r="E113" s="273">
        <f t="shared" si="34"/>
        <v>0.05145181397622624</v>
      </c>
      <c r="F113" s="351" t="str">
        <f t="shared" si="34"/>
        <v>Total cost</v>
      </c>
      <c r="G113" s="275">
        <f t="shared" si="34"/>
        <v>277.39172256068224</v>
      </c>
      <c r="H113" s="351" t="str">
        <f t="shared" si="33"/>
        <v>cost/point=</v>
      </c>
      <c r="I113" s="277">
        <f t="shared" si="33"/>
        <v>8.1592900067692</v>
      </c>
    </row>
    <row r="114" spans="2:9" ht="13.5" thickBot="1">
      <c r="B114" s="360" t="str">
        <f>B12</f>
        <v>n (*BAR)</v>
      </c>
      <c r="C114" s="272">
        <f>C12</f>
        <v>36.70473619572611</v>
      </c>
      <c r="D114" s="357" t="str">
        <f>D12</f>
        <v>SE% (*BAR)</v>
      </c>
      <c r="E114" s="274">
        <f>E12</f>
        <v>0.030866014296565887</v>
      </c>
      <c r="F114" s="352"/>
      <c r="G114" s="352"/>
      <c r="H114" s="353" t="str">
        <f t="shared" si="33"/>
        <v>"CVac" =&gt;      This is a kind of Total CV for the combination of points and *BAR you are using here</v>
      </c>
      <c r="I114" s="278">
        <f t="shared" si="33"/>
        <v>0.34984189300530893</v>
      </c>
    </row>
    <row r="115" spans="2:9" ht="12.75">
      <c r="B115" s="267" t="str">
        <f>B13</f>
        <v>Notes =&gt;</v>
      </c>
      <c r="C115" s="716" t="str">
        <f>C13</f>
        <v>Other notes can go in this area when they apply to the CURRENT run ............................</v>
      </c>
      <c r="D115" s="340"/>
      <c r="E115" s="340"/>
      <c r="F115" s="340"/>
      <c r="G115" s="340"/>
      <c r="H115" s="340"/>
      <c r="I115" s="340"/>
    </row>
    <row r="116" spans="2:9" ht="12.75">
      <c r="B116" s="646"/>
      <c r="C116" s="717" t="str">
        <f>H9</f>
        <v>notes 1</v>
      </c>
      <c r="D116" s="647"/>
      <c r="E116" s="647"/>
      <c r="F116" s="647"/>
      <c r="G116" s="647"/>
      <c r="H116" s="647"/>
      <c r="I116" s="647"/>
    </row>
    <row r="117" spans="2:9" ht="12.75">
      <c r="B117" s="646"/>
      <c r="C117" s="717" t="str">
        <f>H10</f>
        <v>notes 2</v>
      </c>
      <c r="D117" s="647"/>
      <c r="E117" s="647"/>
      <c r="F117" s="647"/>
      <c r="G117" s="647"/>
      <c r="H117" s="647"/>
      <c r="I117" s="647"/>
    </row>
    <row r="118" spans="2:9" ht="12.75">
      <c r="B118" s="646"/>
      <c r="C118" s="714" t="str">
        <f>I9</f>
        <v>notes 3</v>
      </c>
      <c r="D118" s="647"/>
      <c r="E118" s="647"/>
      <c r="F118" s="647"/>
      <c r="G118" s="647"/>
      <c r="H118" s="647"/>
      <c r="I118" s="647"/>
    </row>
    <row r="119" spans="2:9" ht="13.5" thickBot="1">
      <c r="B119" s="646"/>
      <c r="C119" s="715" t="str">
        <f>I10</f>
        <v> x*y etc A</v>
      </c>
      <c r="D119" s="647"/>
      <c r="E119" s="647"/>
      <c r="F119" s="647"/>
      <c r="G119" s="647"/>
      <c r="H119" s="647"/>
      <c r="I119" s="647"/>
    </row>
    <row r="120" spans="1:9" ht="12.75">
      <c r="A120" s="686">
        <f>A14</f>
        <v>2</v>
      </c>
      <c r="B120" s="364" t="str">
        <f>B14</f>
        <v>Other Options Section : (Try any combination)</v>
      </c>
      <c r="C120" s="369"/>
      <c r="D120" s="373"/>
      <c r="E120" s="369"/>
      <c r="F120" s="374"/>
      <c r="G120" s="374" t="str">
        <f>G14</f>
        <v>  "BIG BAF multiplier" =</v>
      </c>
      <c r="H120" s="374"/>
      <c r="I120" s="279" t="e">
        <f aca="true" t="shared" si="35" ref="I120:I125">I14</f>
        <v>#DIV/0!</v>
      </c>
    </row>
    <row r="121" spans="2:9" ht="12.75">
      <c r="B121" s="363" t="str">
        <f aca="true" t="shared" si="36" ref="B121:F123">B15</f>
        <v>  n points</v>
      </c>
      <c r="C121" s="175">
        <f t="shared" si="36"/>
        <v>0</v>
      </c>
      <c r="D121" s="577" t="e">
        <f t="shared" si="36"/>
        <v>#DIV/0!</v>
      </c>
      <c r="E121" s="356" t="str">
        <f t="shared" si="36"/>
        <v>SE%(TC)</v>
      </c>
      <c r="F121" s="273" t="e">
        <f t="shared" si="36"/>
        <v>#DIV/0!</v>
      </c>
      <c r="G121" s="375"/>
      <c r="H121" s="370" t="str">
        <f>H15</f>
        <v>Ave TC?=&gt;</v>
      </c>
      <c r="I121" s="323">
        <f t="shared" si="35"/>
        <v>6</v>
      </c>
    </row>
    <row r="122" spans="2:9" ht="12.75">
      <c r="B122" s="363" t="str">
        <f t="shared" si="36"/>
        <v>  n(*BAR)</v>
      </c>
      <c r="C122" s="175">
        <f t="shared" si="36"/>
        <v>0</v>
      </c>
      <c r="D122" s="577" t="e">
        <f t="shared" si="36"/>
        <v>#DIV/0!</v>
      </c>
      <c r="E122" s="370" t="str">
        <f t="shared" si="36"/>
        <v>SE%(*BAR)</v>
      </c>
      <c r="F122" s="273" t="e">
        <f t="shared" si="36"/>
        <v>#DIV/0!</v>
      </c>
      <c r="G122" s="375"/>
      <c r="H122" s="376" t="str">
        <f>H16</f>
        <v>(n*TC) =</v>
      </c>
      <c r="I122" s="280">
        <f t="shared" si="35"/>
        <v>0</v>
      </c>
    </row>
    <row r="123" spans="2:9" ht="12.75">
      <c r="B123" s="365" t="str">
        <f t="shared" si="36"/>
        <v>Ratio Efficiency</v>
      </c>
      <c r="C123" s="84" t="str">
        <f t="shared" si="36"/>
        <v>Overall</v>
      </c>
      <c r="D123" s="283" t="e">
        <f t="shared" si="36"/>
        <v>#DIV/0!</v>
      </c>
      <c r="E123" s="371" t="str">
        <f t="shared" si="36"/>
        <v>SE%(TOTAL)</v>
      </c>
      <c r="F123" s="516" t="e">
        <f t="shared" si="36"/>
        <v>#DIV/0!</v>
      </c>
      <c r="G123" s="375"/>
      <c r="H123" s="376" t="str">
        <f>H17</f>
        <v>Total TC plots =  </v>
      </c>
      <c r="I123" s="281">
        <f t="shared" si="35"/>
        <v>0</v>
      </c>
    </row>
    <row r="124" spans="2:9" ht="12.75">
      <c r="B124" s="366" t="s">
        <v>3</v>
      </c>
      <c r="C124" s="368" t="str">
        <f>C18</f>
        <v>Field</v>
      </c>
      <c r="D124" s="283" t="e">
        <f>D18</f>
        <v>#DIV/0!</v>
      </c>
      <c r="E124" s="372" t="str">
        <f>E18</f>
        <v>Cost =</v>
      </c>
      <c r="F124" s="518">
        <f>F18</f>
        <v>0</v>
      </c>
      <c r="G124" s="375"/>
      <c r="H124" s="376" t="str">
        <f>H18</f>
        <v> $/point=</v>
      </c>
      <c r="I124" s="281" t="e">
        <f t="shared" si="35"/>
        <v>#DIV/0!</v>
      </c>
    </row>
    <row r="125" spans="2:12" ht="13.5" thickBot="1">
      <c r="B125" s="487"/>
      <c r="C125" s="352"/>
      <c r="D125" s="352"/>
      <c r="E125" s="654" t="str">
        <f>E19</f>
        <v>Compared to Optimum, Total cost &amp; efficiency ratio is ==&gt;</v>
      </c>
      <c r="F125" s="285">
        <f>F19</f>
        <v>0</v>
      </c>
      <c r="G125" s="285" t="e">
        <f>G19</f>
        <v>#DIV/0!</v>
      </c>
      <c r="H125" s="377" t="str">
        <f>H19</f>
        <v>"CVac" =&gt;      This is a kind of Total CV for the combination of points and *BAR you are using here</v>
      </c>
      <c r="I125" s="282" t="e">
        <f t="shared" si="35"/>
        <v>#DIV/0!</v>
      </c>
      <c r="L125" s="20"/>
    </row>
    <row r="126" spans="1:12" ht="12.75">
      <c r="A126" s="5"/>
      <c r="L126" s="20"/>
    </row>
    <row r="127" spans="1:12" ht="13.5" thickBot="1">
      <c r="A127" s="5"/>
      <c r="L127" s="20"/>
    </row>
    <row r="128" spans="1:9" ht="12.75">
      <c r="A128" s="686">
        <f>A22</f>
        <v>3</v>
      </c>
      <c r="B128" s="378" t="str">
        <f>B22</f>
        <v>           Full Measure Comparison,  ALL trees measured,  SE% of =&gt;</v>
      </c>
      <c r="C128" s="379"/>
      <c r="D128" s="379"/>
      <c r="E128" s="379"/>
      <c r="F128" s="379"/>
      <c r="G128" s="379"/>
      <c r="H128" s="287">
        <f>H22</f>
        <v>0.06</v>
      </c>
      <c r="I128" s="382"/>
    </row>
    <row r="129" spans="2:9" ht="12.75">
      <c r="B129" s="380" t="s">
        <v>3</v>
      </c>
      <c r="C129" s="381" t="str">
        <f aca="true" t="shared" si="37" ref="C129:D131">C23</f>
        <v>number</v>
      </c>
      <c r="D129" s="381" t="str">
        <f t="shared" si="37"/>
        <v>    SE%'s</v>
      </c>
      <c r="E129" s="381"/>
      <c r="F129" s="384" t="str">
        <f>F23</f>
        <v>Ratio:</v>
      </c>
      <c r="G129" s="381"/>
      <c r="H129" s="381" t="str">
        <f>H23</f>
        <v>Ave TC?=&gt;</v>
      </c>
      <c r="I129" s="336">
        <f>I23</f>
        <v>6</v>
      </c>
    </row>
    <row r="130" spans="2:9" ht="12.75">
      <c r="B130" s="380" t="str">
        <f>B24</f>
        <v># Points</v>
      </c>
      <c r="C130" s="292">
        <f t="shared" si="37"/>
        <v>26.618935185185183</v>
      </c>
      <c r="D130" s="293">
        <f t="shared" si="37"/>
        <v>0.0581468128792342</v>
      </c>
      <c r="E130" s="388" t="str">
        <f>E24</f>
        <v>SE%(TC)</v>
      </c>
      <c r="F130" s="288">
        <f>F24</f>
        <v>0.16666666666666666</v>
      </c>
      <c r="G130" s="381" t="str">
        <f>G24</f>
        <v>TC points/ *BAR measure</v>
      </c>
      <c r="H130" s="381"/>
      <c r="I130" s="383"/>
    </row>
    <row r="131" spans="2:9" ht="12.75">
      <c r="B131" s="380" t="str">
        <f>B25</f>
        <v># (*BAR)</v>
      </c>
      <c r="C131" s="294">
        <f t="shared" si="37"/>
        <v>159.7136111111111</v>
      </c>
      <c r="D131" s="293">
        <f t="shared" si="37"/>
        <v>0.014796896701245317</v>
      </c>
      <c r="E131" s="389" t="str">
        <f>E25</f>
        <v>SE%(*BAR)</v>
      </c>
      <c r="F131" s="384" t="s">
        <v>3</v>
      </c>
      <c r="G131" s="384" t="s">
        <v>3</v>
      </c>
      <c r="H131" s="384" t="s">
        <v>3</v>
      </c>
      <c r="I131" s="383"/>
    </row>
    <row r="132" spans="2:9" ht="12.75">
      <c r="B132" s="380" t="s">
        <v>3</v>
      </c>
      <c r="C132" s="392" t="s">
        <v>3</v>
      </c>
      <c r="D132" s="295">
        <f>D26</f>
        <v>0.060000000000000005</v>
      </c>
      <c r="E132" s="390" t="str">
        <f>E26</f>
        <v>SE%(TOTAL)</v>
      </c>
      <c r="F132" s="384" t="s">
        <v>3</v>
      </c>
      <c r="G132" s="51"/>
      <c r="H132" s="385" t="str">
        <f>H26</f>
        <v>cost / point=</v>
      </c>
      <c r="I132" s="290">
        <f>I26</f>
        <v>18</v>
      </c>
    </row>
    <row r="133" spans="2:9" ht="13.5" thickBot="1">
      <c r="B133" s="393" t="str">
        <f>B27</f>
        <v>Total cost</v>
      </c>
      <c r="C133" s="296">
        <f>C27</f>
        <v>479.1408333333333</v>
      </c>
      <c r="D133" s="386" t="s">
        <v>3</v>
      </c>
      <c r="E133" s="391" t="str">
        <f>E27</f>
        <v>Cost Ratio</v>
      </c>
      <c r="F133" s="289">
        <f>F27</f>
        <v>1.727307610011746</v>
      </c>
      <c r="G133" s="386" t="s">
        <v>100</v>
      </c>
      <c r="H133" s="387"/>
      <c r="I133" s="291">
        <f>I27</f>
        <v>0.5789356766587741</v>
      </c>
    </row>
    <row r="134" spans="2:11" ht="13.5" thickBot="1">
      <c r="B134" s="10" t="s">
        <v>3</v>
      </c>
      <c r="D134" s="11" t="s">
        <v>3</v>
      </c>
      <c r="F134" s="10" t="s">
        <v>3</v>
      </c>
      <c r="H134" s="10" t="s">
        <v>3</v>
      </c>
      <c r="I134" s="10" t="s">
        <v>3</v>
      </c>
      <c r="J134" s="10" t="s">
        <v>3</v>
      </c>
      <c r="K134" s="10" t="s">
        <v>3</v>
      </c>
    </row>
    <row r="135" spans="1:11" ht="12.75">
      <c r="A135" s="686">
        <f>A29</f>
        <v>4</v>
      </c>
      <c r="B135" s="406" t="str">
        <f>B29</f>
        <v>Calculation of "Student-t" values</v>
      </c>
      <c r="C135" s="407"/>
      <c r="D135" s="407"/>
      <c r="E135" s="407"/>
      <c r="F135" s="399" t="str">
        <f>F29</f>
        <v>        Standard</v>
      </c>
      <c r="G135" s="400"/>
      <c r="I135" s="394" t="str">
        <f>I29</f>
        <v>        From part 1</v>
      </c>
      <c r="J135" s="395"/>
      <c r="K135" s="722" t="str">
        <f>K29</f>
        <v>n</v>
      </c>
    </row>
    <row r="136" spans="2:11" ht="12.75">
      <c r="B136" s="409" t="str">
        <f>B30</f>
        <v>  Conf. % =</v>
      </c>
      <c r="C136" s="321">
        <f aca="true" t="shared" si="38" ref="C136:G137">C30</f>
        <v>0.95</v>
      </c>
      <c r="D136" s="408" t="str">
        <f t="shared" si="38"/>
        <v>SE% =</v>
      </c>
      <c r="E136" s="341">
        <f t="shared" si="38"/>
        <v>0.06</v>
      </c>
      <c r="F136" s="401" t="str">
        <f t="shared" si="38"/>
        <v>Conf.</v>
      </c>
      <c r="G136" s="402" t="str">
        <f t="shared" si="38"/>
        <v>(t *  SE%)</v>
      </c>
      <c r="I136" s="396" t="str">
        <f>I30</f>
        <v>SE%(TC)=</v>
      </c>
      <c r="J136" s="398">
        <f>J30</f>
        <v>0.05145181397622624</v>
      </c>
      <c r="K136" s="580">
        <f>K30</f>
        <v>33.99704169487167</v>
      </c>
    </row>
    <row r="137" spans="2:11" ht="13.5" thickBot="1">
      <c r="B137" s="410" t="str">
        <f>B31</f>
        <v>n =</v>
      </c>
      <c r="C137" s="322">
        <f t="shared" si="38"/>
        <v>123</v>
      </c>
      <c r="D137" s="408" t="str">
        <f t="shared" si="38"/>
        <v>SE% * t =</v>
      </c>
      <c r="E137" s="293">
        <f t="shared" si="38"/>
        <v>0.11877599122607668</v>
      </c>
      <c r="F137" s="403">
        <f t="shared" si="38"/>
        <v>0.05</v>
      </c>
      <c r="G137" s="298">
        <f t="shared" si="38"/>
        <v>0.0037701548273500166</v>
      </c>
      <c r="I137" s="396" t="str">
        <f>I31</f>
        <v>SE%(*bar)=</v>
      </c>
      <c r="J137" s="398">
        <f>J31</f>
        <v>0.030866014296565887</v>
      </c>
      <c r="K137" s="581">
        <f>K31</f>
        <v>36.70473619572611</v>
      </c>
    </row>
    <row r="138" spans="2:11" ht="12.75">
      <c r="B138" s="411" t="str">
        <f>B32</f>
        <v>"t" (conf) =</v>
      </c>
      <c r="C138" s="297">
        <f>C32</f>
        <v>1.9795998537679447</v>
      </c>
      <c r="D138" s="405"/>
      <c r="E138" s="405"/>
      <c r="F138" s="403">
        <f>F32</f>
        <v>0.5</v>
      </c>
      <c r="G138" s="298">
        <f>G32</f>
        <v>0.040590361794727185</v>
      </c>
      <c r="I138" s="396" t="str">
        <f>I32</f>
        <v>SE%comb=</v>
      </c>
      <c r="J138" s="298">
        <f>J32</f>
        <v>0.06</v>
      </c>
      <c r="K138" s="39"/>
    </row>
    <row r="139" spans="2:11" ht="13.5" thickBot="1">
      <c r="B139" s="412"/>
      <c r="C139" s="413" t="s">
        <v>3</v>
      </c>
      <c r="D139" s="414" t="str">
        <f>D33</f>
        <v>notes and comments</v>
      </c>
      <c r="E139" s="342"/>
      <c r="F139" s="404">
        <f>F33</f>
        <v>0.95</v>
      </c>
      <c r="G139" s="299">
        <f>G33</f>
        <v>0.11877599122607668</v>
      </c>
      <c r="I139" s="367"/>
      <c r="J139" s="397"/>
      <c r="K139" s="39"/>
    </row>
    <row r="140" ht="13.5" thickBot="1"/>
    <row r="141" spans="1:10" ht="13.5" thickBot="1">
      <c r="A141" s="686">
        <f>A35</f>
        <v>5</v>
      </c>
      <c r="B141" s="415"/>
      <c r="C141" s="416"/>
      <c r="D141" s="416"/>
      <c r="E141" s="417" t="str">
        <f>E35</f>
        <v>ENGLISH UNITS</v>
      </c>
      <c r="F141" s="416"/>
      <c r="G141" s="416"/>
      <c r="H141" s="416"/>
      <c r="I141" s="416"/>
      <c r="J141" s="425"/>
    </row>
    <row r="142" spans="2:11" ht="14.25" thickBot="1" thickTop="1">
      <c r="B142" s="418">
        <f>B36</f>
        <v>0</v>
      </c>
      <c r="C142" s="419"/>
      <c r="D142" s="419"/>
      <c r="E142" s="419"/>
      <c r="F142" s="420" t="str">
        <f>F36</f>
        <v>Programs to compute BAF from distance to a target: </v>
      </c>
      <c r="G142" s="419"/>
      <c r="H142" s="421" t="str">
        <f aca="true" t="shared" si="39" ref="H142:J144">H36</f>
        <v>BAFe</v>
      </c>
      <c r="I142" s="333">
        <f t="shared" si="39"/>
        <v>200</v>
      </c>
      <c r="J142" s="334">
        <f t="shared" si="39"/>
        <v>200</v>
      </c>
      <c r="K142" s="10" t="s">
        <v>3</v>
      </c>
    </row>
    <row r="143" spans="2:10" ht="13.5" thickBot="1">
      <c r="B143" s="422" t="str">
        <f>B37</f>
        <v>  To calibrate an angle gauge</v>
      </c>
      <c r="C143" s="84"/>
      <c r="D143" s="84"/>
      <c r="E143" s="84"/>
      <c r="F143" s="423" t="str">
        <f>F37</f>
        <v>     BAF:</v>
      </c>
      <c r="G143" s="423"/>
      <c r="H143" s="424" t="str">
        <f t="shared" si="39"/>
        <v>target width</v>
      </c>
      <c r="I143" s="64">
        <f t="shared" si="39"/>
        <v>8.5</v>
      </c>
      <c r="J143" s="300">
        <f t="shared" si="39"/>
        <v>3.2599549495449676</v>
      </c>
    </row>
    <row r="144" spans="2:11" ht="13.5" thickBot="1">
      <c r="B144" s="427"/>
      <c r="C144" s="351" t="str">
        <f aca="true" t="shared" si="40" ref="C144:E145">C38</f>
        <v>  Width of target =</v>
      </c>
      <c r="D144" s="64">
        <f t="shared" si="40"/>
        <v>8.5</v>
      </c>
      <c r="E144" s="84" t="str">
        <f t="shared" si="40"/>
        <v>inches</v>
      </c>
      <c r="F144" s="301">
        <f>F38</f>
        <v>151.24818281210577</v>
      </c>
      <c r="G144" s="84" t="str">
        <f>G38</f>
        <v>sq. ft/ acre</v>
      </c>
      <c r="H144" s="426" t="str">
        <f t="shared" si="39"/>
        <v>distance (ft)</v>
      </c>
      <c r="I144" s="300">
        <f t="shared" si="39"/>
        <v>5.214795990470022</v>
      </c>
      <c r="J144" s="335">
        <f t="shared" si="39"/>
        <v>2</v>
      </c>
      <c r="K144" s="11"/>
    </row>
    <row r="145" spans="2:11" ht="12.75">
      <c r="B145" s="427"/>
      <c r="C145" s="351" t="str">
        <f t="shared" si="40"/>
        <v> Distance to target =</v>
      </c>
      <c r="D145" s="64">
        <f t="shared" si="40"/>
        <v>6</v>
      </c>
      <c r="E145" s="84" t="str">
        <f t="shared" si="40"/>
        <v>feet</v>
      </c>
      <c r="F145" s="84" t="s">
        <v>3</v>
      </c>
      <c r="G145" s="84" t="s">
        <v>3</v>
      </c>
      <c r="H145" s="84" t="s">
        <v>3</v>
      </c>
      <c r="I145" s="84"/>
      <c r="J145" s="436"/>
      <c r="K145" s="11" t="s">
        <v>3</v>
      </c>
    </row>
    <row r="146" spans="2:10" ht="12.75">
      <c r="B146" s="428"/>
      <c r="C146" s="351" t="str">
        <f>C40</f>
        <v>   enter 1 if target flat =</v>
      </c>
      <c r="D146" s="324">
        <f>D40</f>
        <v>1</v>
      </c>
      <c r="E146" s="84"/>
      <c r="F146" s="84"/>
      <c r="G146" s="84"/>
      <c r="H146" s="84"/>
      <c r="I146" s="84"/>
      <c r="J146" s="355"/>
    </row>
    <row r="147" spans="2:10" ht="12.75">
      <c r="B147" s="428" t="str">
        <f>B41</f>
        <v>   or 0 if target is a cylinder</v>
      </c>
      <c r="C147" s="84"/>
      <c r="D147" s="84"/>
      <c r="E147" s="84"/>
      <c r="F147" s="84"/>
      <c r="G147" s="351" t="str">
        <f aca="true" t="shared" si="41" ref="G147:I149">G41</f>
        <v>Plot Radius Factor, ctr :</v>
      </c>
      <c r="H147" s="302">
        <f t="shared" si="41"/>
        <v>0.7071110289798078</v>
      </c>
      <c r="I147" s="84" t="str">
        <f t="shared" si="41"/>
        <v>ft. per inch Diameter</v>
      </c>
      <c r="J147" s="355"/>
    </row>
    <row r="148" spans="2:10" ht="13.5" thickBot="1">
      <c r="B148" s="362" t="s">
        <v>3</v>
      </c>
      <c r="C148" s="84"/>
      <c r="D148" s="84"/>
      <c r="E148" s="84"/>
      <c r="F148" s="84"/>
      <c r="G148" s="351" t="str">
        <f t="shared" si="41"/>
        <v>Plot Radius Factor, face :</v>
      </c>
      <c r="H148" s="303">
        <f t="shared" si="41"/>
        <v>0.6654443623131412</v>
      </c>
      <c r="I148" s="84" t="str">
        <f t="shared" si="41"/>
        <v>ft. per inch Diameter</v>
      </c>
      <c r="J148" s="355"/>
    </row>
    <row r="149" spans="2:10" ht="12.75">
      <c r="B149" s="429" t="str">
        <f>B43</f>
        <v>Enter PRF</v>
      </c>
      <c r="C149" s="325">
        <f>C43</f>
        <v>0.7071110289798078</v>
      </c>
      <c r="D149" s="432" t="str">
        <f>D43</f>
        <v>if PRFctr</v>
      </c>
      <c r="E149" s="433" t="str">
        <f>E43</f>
        <v>if PRFface</v>
      </c>
      <c r="F149" s="423"/>
      <c r="G149" s="431" t="str">
        <f t="shared" si="41"/>
        <v>Enter Diameter =</v>
      </c>
      <c r="H149" s="332">
        <f t="shared" si="41"/>
        <v>24</v>
      </c>
      <c r="I149" s="437" t="str">
        <f t="shared" si="41"/>
        <v>   Inches</v>
      </c>
      <c r="J149" s="355"/>
    </row>
    <row r="150" spans="2:10" ht="13.5" thickBot="1">
      <c r="B150" s="367" t="s">
        <v>3</v>
      </c>
      <c r="C150" s="430" t="str">
        <f aca="true" t="shared" si="42" ref="C150:H150">C44</f>
        <v>BAFenglish</v>
      </c>
      <c r="D150" s="307">
        <f t="shared" si="42"/>
        <v>151.2481828121058</v>
      </c>
      <c r="E150" s="306">
        <f t="shared" si="42"/>
        <v>134.88373679642427</v>
      </c>
      <c r="F150" s="434" t="str">
        <f t="shared" si="42"/>
        <v> borderline at</v>
      </c>
      <c r="G150" s="304">
        <f t="shared" si="42"/>
        <v>16.97066469551539</v>
      </c>
      <c r="H150" s="355" t="str">
        <f t="shared" si="42"/>
        <v> feet, from tree center</v>
      </c>
      <c r="I150" s="84"/>
      <c r="J150" s="355"/>
    </row>
    <row r="151" spans="1:10" ht="13.5" thickBot="1">
      <c r="A151" s="687"/>
      <c r="B151" s="718" t="str">
        <f>K41</f>
        <v> x*y etc B </v>
      </c>
      <c r="C151" s="84"/>
      <c r="D151" s="84"/>
      <c r="E151" s="84"/>
      <c r="F151" s="435" t="str">
        <f>F45</f>
        <v> borderline at</v>
      </c>
      <c r="G151" s="305">
        <f>G45</f>
        <v>15.970664695515389</v>
      </c>
      <c r="H151" s="352" t="str">
        <f>H45</f>
        <v> feet, from tree face</v>
      </c>
      <c r="I151" s="352"/>
      <c r="J151" s="397"/>
    </row>
    <row r="152" ht="13.5" thickBot="1">
      <c r="B152" s="719" t="str">
        <f>K42</f>
        <v> x*y etc C</v>
      </c>
    </row>
    <row r="153" spans="1:10" ht="13.5" thickBot="1">
      <c r="A153" s="686" t="s">
        <v>3</v>
      </c>
      <c r="B153" s="438"/>
      <c r="C153" s="439"/>
      <c r="D153" s="439"/>
      <c r="E153" s="440" t="str">
        <f>E47</f>
        <v>METRIC UNITS</v>
      </c>
      <c r="F153" s="439"/>
      <c r="G153" s="439"/>
      <c r="H153" s="439"/>
      <c r="I153" s="439"/>
      <c r="J153" s="441"/>
    </row>
    <row r="154" spans="2:10" ht="14.25" thickBot="1" thickTop="1">
      <c r="B154" s="442"/>
      <c r="C154" s="443"/>
      <c r="D154" s="443"/>
      <c r="E154" s="443"/>
      <c r="F154" s="420" t="str">
        <f>F48</f>
        <v>Programs to compute BAF from distance to a target:   </v>
      </c>
      <c r="G154" s="443"/>
      <c r="H154" s="444" t="str">
        <f aca="true" t="shared" si="43" ref="H154:J156">H48</f>
        <v>BAFm</v>
      </c>
      <c r="I154" s="329">
        <f t="shared" si="43"/>
        <v>137.7410468319559</v>
      </c>
      <c r="J154" s="330">
        <f t="shared" si="43"/>
        <v>137.7410468319559</v>
      </c>
    </row>
    <row r="155" spans="2:10" ht="13.5" thickBot="1">
      <c r="B155" s="445"/>
      <c r="C155" s="446"/>
      <c r="D155" s="446"/>
      <c r="E155" s="446"/>
      <c r="F155" s="446"/>
      <c r="G155" s="423"/>
      <c r="H155" s="447" t="str">
        <f t="shared" si="43"/>
        <v>target width</v>
      </c>
      <c r="I155" s="64">
        <f t="shared" si="43"/>
        <v>21.59</v>
      </c>
      <c r="J155" s="308">
        <f t="shared" si="43"/>
        <v>21.589999999999996</v>
      </c>
    </row>
    <row r="156" spans="2:10" ht="13.5" thickBot="1">
      <c r="B156" s="427"/>
      <c r="C156" s="448" t="str">
        <f aca="true" t="shared" si="44" ref="C156:G158">C50</f>
        <v>  Width of target =</v>
      </c>
      <c r="D156" s="326">
        <f t="shared" si="44"/>
        <v>21.59</v>
      </c>
      <c r="E156" s="446" t="str">
        <f t="shared" si="44"/>
        <v>centimeters</v>
      </c>
      <c r="F156" s="423" t="str">
        <f t="shared" si="44"/>
        <v>     BAF:</v>
      </c>
      <c r="G156" s="446" t="s">
        <v>3</v>
      </c>
      <c r="H156" s="453" t="str">
        <f t="shared" si="43"/>
        <v>distance</v>
      </c>
      <c r="I156" s="308">
        <f t="shared" si="43"/>
        <v>0.9134381747004008</v>
      </c>
      <c r="J156" s="331">
        <f t="shared" si="43"/>
        <v>0.9134381747004008</v>
      </c>
    </row>
    <row r="157" spans="2:10" ht="12.75">
      <c r="B157" s="427"/>
      <c r="C157" s="448" t="str">
        <f t="shared" si="44"/>
        <v> Distance to target =</v>
      </c>
      <c r="D157" s="327">
        <f t="shared" si="44"/>
        <v>0.9134381747004008</v>
      </c>
      <c r="E157" s="446" t="str">
        <f t="shared" si="44"/>
        <v>meters</v>
      </c>
      <c r="F157" s="301">
        <f t="shared" si="44"/>
        <v>137.74104683195594</v>
      </c>
      <c r="G157" s="446" t="str">
        <f t="shared" si="44"/>
        <v>sq. meters/ hectare</v>
      </c>
      <c r="H157" s="446"/>
      <c r="I157" s="446"/>
      <c r="J157" s="454"/>
    </row>
    <row r="158" spans="2:10" ht="12.75">
      <c r="B158" s="358"/>
      <c r="C158" s="448" t="str">
        <f t="shared" si="44"/>
        <v>   enter 1 if target flat =</v>
      </c>
      <c r="D158" s="328">
        <f t="shared" si="44"/>
        <v>1</v>
      </c>
      <c r="E158" s="446"/>
      <c r="F158" s="446"/>
      <c r="G158" s="446"/>
      <c r="H158" s="446"/>
      <c r="I158" s="446"/>
      <c r="J158" s="455"/>
    </row>
    <row r="159" spans="2:10" ht="12.75">
      <c r="B159" s="358" t="str">
        <f>B53</f>
        <v>   or 0 if target is a cylinder</v>
      </c>
      <c r="C159" s="446"/>
      <c r="D159" s="446"/>
      <c r="E159" s="446"/>
      <c r="F159" s="446"/>
      <c r="G159" s="448" t="str">
        <f aca="true" t="shared" si="45" ref="G159:I161">G53</f>
        <v>Plot Radius Factor, ctr :</v>
      </c>
      <c r="H159" s="302">
        <f t="shared" si="45"/>
        <v>0.04260281680828158</v>
      </c>
      <c r="I159" s="446" t="str">
        <f t="shared" si="45"/>
        <v>m per cm Diameter</v>
      </c>
      <c r="J159" s="455"/>
    </row>
    <row r="160" spans="2:10" ht="13.5" thickBot="1">
      <c r="B160" s="445" t="s">
        <v>3</v>
      </c>
      <c r="C160" s="446"/>
      <c r="D160" s="446"/>
      <c r="E160" s="446"/>
      <c r="F160" s="446"/>
      <c r="G160" s="448" t="str">
        <f t="shared" si="45"/>
        <v>Plot Radius Factor, face :</v>
      </c>
      <c r="H160" s="303">
        <f t="shared" si="45"/>
        <v>0.037602816808281585</v>
      </c>
      <c r="I160" s="446" t="str">
        <f t="shared" si="45"/>
        <v>m per cm Diameter</v>
      </c>
      <c r="J160" s="455"/>
    </row>
    <row r="161" spans="2:10" ht="13.5" thickBot="1">
      <c r="B161" s="449" t="str">
        <f>B55</f>
        <v>Enter PRF</v>
      </c>
      <c r="C161" s="325">
        <f aca="true" t="shared" si="46" ref="C161:H163">C55</f>
        <v>0.04260281680828158</v>
      </c>
      <c r="D161" s="432" t="str">
        <f t="shared" si="46"/>
        <v>if PRFctr</v>
      </c>
      <c r="E161" s="433" t="str">
        <f t="shared" si="46"/>
        <v>if PRFface</v>
      </c>
      <c r="F161" s="423"/>
      <c r="G161" s="431" t="str">
        <f t="shared" si="45"/>
        <v>Enter Diameter =</v>
      </c>
      <c r="H161" s="64">
        <f t="shared" si="45"/>
        <v>60.96</v>
      </c>
      <c r="I161" s="456" t="str">
        <f t="shared" si="45"/>
        <v>   cm</v>
      </c>
      <c r="J161" s="455"/>
    </row>
    <row r="162" spans="2:10" ht="13.5" thickBot="1">
      <c r="B162" s="450" t="s">
        <v>3</v>
      </c>
      <c r="C162" s="451" t="str">
        <f t="shared" si="46"/>
        <v>BAF metric</v>
      </c>
      <c r="D162" s="311">
        <f t="shared" si="46"/>
        <v>137.74104683195594</v>
      </c>
      <c r="E162" s="312">
        <f t="shared" si="46"/>
        <v>110.32519521216445</v>
      </c>
      <c r="F162" s="452" t="str">
        <f t="shared" si="46"/>
        <v> borderline at</v>
      </c>
      <c r="G162" s="309">
        <f t="shared" si="46"/>
        <v>2.597067712632845</v>
      </c>
      <c r="H162" s="459" t="str">
        <f t="shared" si="46"/>
        <v>meters from tree center</v>
      </c>
      <c r="I162" s="446"/>
      <c r="J162" s="455"/>
    </row>
    <row r="163" spans="2:10" ht="13.5" thickBot="1">
      <c r="B163" s="718" t="str">
        <f>K53</f>
        <v> x*y etc D </v>
      </c>
      <c r="D163" s="136"/>
      <c r="E163" s="136"/>
      <c r="F163" s="435" t="str">
        <f t="shared" si="46"/>
        <v> borderline at</v>
      </c>
      <c r="G163" s="310">
        <f t="shared" si="46"/>
        <v>2.292267712632845</v>
      </c>
      <c r="H163" s="457" t="str">
        <f t="shared" si="46"/>
        <v>meters from tree face</v>
      </c>
      <c r="I163" s="457"/>
      <c r="J163" s="458"/>
    </row>
    <row r="164" ht="12.75">
      <c r="B164" s="720" t="str">
        <f>K54</f>
        <v> x*y etc E</v>
      </c>
    </row>
    <row r="165" ht="13.5" thickBot="1"/>
    <row r="166" spans="1:10" ht="13.5" thickBot="1">
      <c r="A166" s="686">
        <f>A60</f>
        <v>6</v>
      </c>
      <c r="B166" s="415"/>
      <c r="C166" s="416"/>
      <c r="D166" s="416"/>
      <c r="E166" s="417" t="str">
        <f>E60</f>
        <v>ENGLISH UNITS , BAF calculations</v>
      </c>
      <c r="F166" s="416"/>
      <c r="G166" s="416"/>
      <c r="H166" s="416"/>
      <c r="I166" s="416"/>
      <c r="J166" s="425"/>
    </row>
    <row r="167" spans="2:10" ht="12.75">
      <c r="B167" s="460" t="str">
        <f>B61</f>
        <v>---- Program to compute equivalent plot size with prism (from tree center) -----</v>
      </c>
      <c r="C167" s="348"/>
      <c r="D167" s="348"/>
      <c r="E167" s="348"/>
      <c r="F167" s="348"/>
      <c r="G167" s="348"/>
      <c r="H167" s="348"/>
      <c r="I167" s="466" t="s">
        <v>3</v>
      </c>
      <c r="J167" s="349"/>
    </row>
    <row r="168" spans="2:10" ht="13.5" thickBot="1">
      <c r="B168" s="424" t="str">
        <f>B62</f>
        <v>Using BAFe</v>
      </c>
      <c r="C168" s="64">
        <f>C62</f>
        <v>60</v>
      </c>
      <c r="D168" s="351" t="str">
        <f>D62</f>
        <v> DBH of :</v>
      </c>
      <c r="E168" s="64">
        <f>E62</f>
        <v>12</v>
      </c>
      <c r="F168" s="467" t="str">
        <f>F62</f>
        <v>inches</v>
      </c>
      <c r="G168" s="468" t="str">
        <f>G62</f>
        <v>[ note : BAF(english)/4.3560 = BAF(metric)]</v>
      </c>
      <c r="H168" s="84"/>
      <c r="I168" s="84"/>
      <c r="J168" s="355"/>
    </row>
    <row r="169" spans="2:10" ht="13.5" thickBot="1">
      <c r="B169" s="426" t="str">
        <f>B63</f>
        <v>trees/acre</v>
      </c>
      <c r="C169" s="317">
        <f>C63</f>
        <v>76.39443721173036</v>
      </c>
      <c r="D169" s="84" t="s">
        <v>3</v>
      </c>
      <c r="E169" s="84" t="s">
        <v>3</v>
      </c>
      <c r="F169" s="84" t="s">
        <v>3</v>
      </c>
      <c r="G169" s="84" t="s">
        <v>3</v>
      </c>
      <c r="H169" s="313">
        <f>H63</f>
        <v>0.013089958333333334</v>
      </c>
      <c r="I169" s="84" t="str">
        <f>I63</f>
        <v>acres, as a circle</v>
      </c>
      <c r="J169" s="355"/>
    </row>
    <row r="170" spans="2:10" ht="13.5" thickBot="1">
      <c r="B170" s="424"/>
      <c r="C170" s="84"/>
      <c r="D170" s="348"/>
      <c r="E170" s="462" t="str">
        <f>E64</f>
        <v>  Plot Radius Factor : Face vs. Center of tree</v>
      </c>
      <c r="F170" s="463" t="s">
        <v>185</v>
      </c>
      <c r="G170" s="464"/>
      <c r="H170" s="348" t="s">
        <v>3</v>
      </c>
      <c r="I170" s="348"/>
      <c r="J170" s="349"/>
    </row>
    <row r="171" spans="2:10" ht="13.5" thickBot="1">
      <c r="B171" s="362"/>
      <c r="C171" s="351" t="str">
        <f>C65</f>
        <v>Blow-up Factor(english)</v>
      </c>
      <c r="D171" s="317">
        <f>D65</f>
        <v>726</v>
      </c>
      <c r="E171" s="351" t="str">
        <f>E65</f>
        <v>PRF,ctr =</v>
      </c>
      <c r="F171" s="315">
        <f aca="true" t="shared" si="47" ref="F171:I172">F65</f>
        <v>1.1226827987756234</v>
      </c>
      <c r="G171" s="469" t="str">
        <f t="shared" si="47"/>
        <v>=</v>
      </c>
      <c r="H171" s="300">
        <f t="shared" si="47"/>
        <v>13.47219358530748</v>
      </c>
      <c r="I171" s="84" t="str">
        <f t="shared" si="47"/>
        <v>feet from center</v>
      </c>
      <c r="J171" s="355"/>
    </row>
    <row r="172" spans="2:10" ht="13.5" thickBot="1">
      <c r="B172" s="583" t="str">
        <f>B66</f>
        <v>angle =</v>
      </c>
      <c r="C172" s="308">
        <f>C66</f>
        <v>4.2538685783306756</v>
      </c>
      <c r="D172" s="461" t="str">
        <f>D66</f>
        <v>degrees</v>
      </c>
      <c r="E172" s="465" t="str">
        <f>E66</f>
        <v>PRF,face =</v>
      </c>
      <c r="F172" s="316">
        <f t="shared" si="47"/>
        <v>1.0810161321089566</v>
      </c>
      <c r="G172" s="470" t="str">
        <f t="shared" si="47"/>
        <v>=</v>
      </c>
      <c r="H172" s="314">
        <f t="shared" si="47"/>
        <v>12.97219358530748</v>
      </c>
      <c r="I172" s="352" t="str">
        <f t="shared" si="47"/>
        <v>feet from face</v>
      </c>
      <c r="J172" s="397"/>
    </row>
    <row r="173" spans="2:5" ht="13.5" thickBot="1">
      <c r="B173" s="721" t="str">
        <f>K64</f>
        <v> x*y etc F</v>
      </c>
      <c r="E173" s="39"/>
    </row>
    <row r="174" spans="2:10" ht="13.5" thickBot="1">
      <c r="B174" s="438"/>
      <c r="C174" s="439"/>
      <c r="D174" s="439"/>
      <c r="E174" s="440" t="str">
        <f aca="true" t="shared" si="48" ref="E174:E179">E68</f>
        <v>METRIC UNITS , BAF calculations</v>
      </c>
      <c r="F174" s="439"/>
      <c r="G174" s="439"/>
      <c r="H174" s="439"/>
      <c r="I174" s="439"/>
      <c r="J174" s="441"/>
    </row>
    <row r="175" spans="2:10" ht="13.5" thickBot="1">
      <c r="B175" s="444" t="str">
        <f>B69</f>
        <v>Using BAFm</v>
      </c>
      <c r="C175" s="584">
        <f>C69</f>
        <v>13.774104683195592</v>
      </c>
      <c r="D175" s="472" t="str">
        <f>D69</f>
        <v> DBH of :</v>
      </c>
      <c r="E175" s="300">
        <f>E69</f>
        <v>30.48</v>
      </c>
      <c r="F175" s="473" t="str">
        <f>F69</f>
        <v>cm</v>
      </c>
      <c r="G175" s="473" t="str">
        <f aca="true" t="shared" si="49" ref="G175:I176">G69</f>
        <v> </v>
      </c>
      <c r="H175" s="318">
        <f t="shared" si="49"/>
        <v>52.973181950198395</v>
      </c>
      <c r="I175" s="471" t="str">
        <f t="shared" si="49"/>
        <v>square meters</v>
      </c>
      <c r="J175" s="474"/>
    </row>
    <row r="176" spans="2:10" ht="13.5" thickBot="1">
      <c r="B176" s="447" t="str">
        <f>B70</f>
        <v>trees/ha =</v>
      </c>
      <c r="C176" s="300">
        <f>C70</f>
        <v>188.7747654917404</v>
      </c>
      <c r="D176" s="446" t="s">
        <v>3</v>
      </c>
      <c r="E176" s="446" t="s">
        <v>3</v>
      </c>
      <c r="F176" s="446" t="s">
        <v>3</v>
      </c>
      <c r="G176" s="448" t="str">
        <f t="shared" si="49"/>
        <v>or</v>
      </c>
      <c r="H176" s="319">
        <f t="shared" si="49"/>
        <v>0.005297318195019839</v>
      </c>
      <c r="I176" s="446" t="str">
        <f t="shared" si="49"/>
        <v>hectares, as a circle</v>
      </c>
      <c r="J176" s="455"/>
    </row>
    <row r="177" spans="2:10" ht="13.5" thickBot="1">
      <c r="B177" s="346"/>
      <c r="C177" s="471"/>
      <c r="D177" s="471"/>
      <c r="E177" s="475" t="str">
        <f t="shared" si="48"/>
        <v>  Plot Radius Factor : Face vs. Center of tree</v>
      </c>
      <c r="F177" s="476" t="str">
        <f>F71</f>
        <v>Metric</v>
      </c>
      <c r="G177" s="471" t="s">
        <v>3</v>
      </c>
      <c r="H177" s="446"/>
      <c r="I177" s="471"/>
      <c r="J177" s="474"/>
    </row>
    <row r="178" spans="2:10" ht="13.5" thickBot="1">
      <c r="B178" s="479"/>
      <c r="C178" s="585" t="str">
        <f>C72</f>
        <v>Blow-up Factor (metric)</v>
      </c>
      <c r="D178" s="320">
        <f>D72</f>
        <v>726</v>
      </c>
      <c r="E178" s="448" t="str">
        <f t="shared" si="48"/>
        <v>PRFctr =</v>
      </c>
      <c r="F178" s="315">
        <f>F72</f>
        <v>0.1347219358530748</v>
      </c>
      <c r="G178" s="456" t="s">
        <v>3</v>
      </c>
      <c r="H178" s="300">
        <f>H72</f>
        <v>4.10632460480172</v>
      </c>
      <c r="I178" s="456" t="str">
        <f>I72</f>
        <v>meters from center</v>
      </c>
      <c r="J178" s="455"/>
    </row>
    <row r="179" spans="2:11" ht="13.5" thickBot="1">
      <c r="B179" s="453" t="str">
        <f>B73</f>
        <v>angle =</v>
      </c>
      <c r="C179" s="308">
        <f>C73</f>
        <v>4.2538685783306756</v>
      </c>
      <c r="D179" s="586" t="str">
        <f>D73</f>
        <v>degrees</v>
      </c>
      <c r="E179" s="478" t="str">
        <f t="shared" si="48"/>
        <v>PRFface =</v>
      </c>
      <c r="F179" s="316">
        <f>F73</f>
        <v>0.1297219358530748</v>
      </c>
      <c r="G179" s="477" t="s">
        <v>3</v>
      </c>
      <c r="H179" s="314">
        <f>H73</f>
        <v>3.9539246048017196</v>
      </c>
      <c r="I179" s="457" t="str">
        <f>I73</f>
        <v>meters from face</v>
      </c>
      <c r="J179" s="458"/>
      <c r="K179" s="20"/>
    </row>
    <row r="180" ht="12.75">
      <c r="B180" s="718" t="str">
        <f>K71</f>
        <v> x*y etc G </v>
      </c>
    </row>
    <row r="181" ht="13.5" thickBot="1"/>
    <row r="182" spans="1:8" ht="12.75">
      <c r="A182" s="686">
        <f>A76</f>
        <v>7</v>
      </c>
      <c r="B182" s="480" t="str">
        <f>B76</f>
        <v>ROUGH Calculation if CV *BAR not available, but you have (SE% overall) </v>
      </c>
      <c r="C182" s="374"/>
      <c r="D182" s="374"/>
      <c r="E182" s="374"/>
      <c r="F182" s="374"/>
      <c r="G182" s="374"/>
      <c r="H182" s="481"/>
    </row>
    <row r="183" spans="2:8" ht="13.5" thickBot="1">
      <c r="B183" s="486" t="s">
        <v>3</v>
      </c>
      <c r="C183" s="375"/>
      <c r="D183" s="375"/>
      <c r="E183" s="375"/>
      <c r="F183" s="375"/>
      <c r="G183" s="375" t="str">
        <f>G77</f>
        <v>(Implied)</v>
      </c>
      <c r="H183" s="482"/>
    </row>
    <row r="184" spans="2:8" ht="14.25" customHeight="1" thickBot="1">
      <c r="B184" s="589" t="str">
        <f aca="true" t="shared" si="50" ref="B184:G185">B78</f>
        <v>SE%,BA =</v>
      </c>
      <c r="C184" s="593">
        <f t="shared" si="50"/>
        <v>0.078</v>
      </c>
      <c r="D184" s="376" t="str">
        <f t="shared" si="50"/>
        <v>#  points</v>
      </c>
      <c r="E184" s="324">
        <f t="shared" si="50"/>
        <v>30</v>
      </c>
      <c r="F184" s="376" t="str">
        <f t="shared" si="50"/>
        <v> CV, BA</v>
      </c>
      <c r="G184" s="592">
        <f t="shared" si="50"/>
        <v>0.42722359485402955</v>
      </c>
      <c r="H184" s="482" t="s">
        <v>85</v>
      </c>
    </row>
    <row r="185" spans="2:8" ht="13.5" thickBot="1">
      <c r="B185" s="589" t="str">
        <f t="shared" si="50"/>
        <v>SE%,*BAR =</v>
      </c>
      <c r="C185" s="594">
        <f t="shared" si="50"/>
        <v>0.02529822128134705</v>
      </c>
      <c r="D185" s="376" t="str">
        <f t="shared" si="50"/>
        <v># *BARs</v>
      </c>
      <c r="E185" s="324">
        <f t="shared" si="50"/>
        <v>120</v>
      </c>
      <c r="F185" s="371" t="str">
        <f t="shared" si="50"/>
        <v>CV, *BAR</v>
      </c>
      <c r="G185" s="591">
        <f t="shared" si="50"/>
        <v>0.27712812921102054</v>
      </c>
      <c r="H185" s="482" t="s">
        <v>85</v>
      </c>
    </row>
    <row r="186" spans="2:8" ht="13.5" thickBot="1">
      <c r="B186" s="590" t="str">
        <f>B80</f>
        <v>SE%,Total =</v>
      </c>
      <c r="C186" s="597">
        <f>C80</f>
        <v>0.082</v>
      </c>
      <c r="D186" s="484"/>
      <c r="E186" s="484"/>
      <c r="F186" s="484"/>
      <c r="G186" s="484"/>
      <c r="H186" s="483"/>
    </row>
    <row r="187" ht="13.5" thickBot="1"/>
    <row r="188" spans="1:9" ht="14.25" thickBot="1" thickTop="1">
      <c r="A188" s="686">
        <f>A82</f>
        <v>8</v>
      </c>
      <c r="B188" s="510" t="str">
        <f>B82</f>
        <v>*** Optimum Calculation of TC vs. *BAR plots Using your test number ratio from section 2</v>
      </c>
      <c r="C188" s="511"/>
      <c r="D188" s="511"/>
      <c r="E188" s="511"/>
      <c r="F188" s="511"/>
      <c r="G188" s="511"/>
      <c r="H188" s="511"/>
      <c r="I188" s="512"/>
    </row>
    <row r="189" spans="2:9" ht="13.5" thickTop="1">
      <c r="B189" s="346"/>
      <c r="C189" s="374" t="str">
        <f>C83</f>
        <v>Variability</v>
      </c>
      <c r="D189" s="374"/>
      <c r="E189" s="374" t="str">
        <f>E83</f>
        <v>   Measurement Costs</v>
      </c>
      <c r="F189" s="374"/>
      <c r="G189" s="374"/>
      <c r="H189" s="374" t="str">
        <f>H83</f>
        <v>  Fixed costs:</v>
      </c>
      <c r="I189" s="481"/>
    </row>
    <row r="190" spans="2:9" ht="12.75">
      <c r="B190" s="588" t="str">
        <f>B84</f>
        <v>  CV(TC) =</v>
      </c>
      <c r="C190" s="508">
        <f>C84</f>
        <v>0.3</v>
      </c>
      <c r="D190" s="375" t="s">
        <v>3</v>
      </c>
      <c r="E190" s="498">
        <f>E84</f>
        <v>6</v>
      </c>
      <c r="F190" s="375" t="str">
        <f>F84</f>
        <v>= Cost (TC) </v>
      </c>
      <c r="G190" s="375"/>
      <c r="H190" s="500">
        <f>H84</f>
        <v>0</v>
      </c>
      <c r="I190" s="501" t="str">
        <f>I84</f>
        <v>comment 1</v>
      </c>
    </row>
    <row r="191" spans="2:9" ht="12.75">
      <c r="B191" s="588"/>
      <c r="C191" s="375"/>
      <c r="D191" s="375"/>
      <c r="E191" s="375" t="s">
        <v>3</v>
      </c>
      <c r="F191" s="375"/>
      <c r="G191" s="375"/>
      <c r="H191" s="500">
        <f>H85</f>
        <v>0</v>
      </c>
      <c r="I191" s="501" t="str">
        <f>I85</f>
        <v> comment 2</v>
      </c>
    </row>
    <row r="192" spans="1:9" ht="13.5" thickBot="1">
      <c r="A192" s="5"/>
      <c r="B192" s="600" t="str">
        <f>B86</f>
        <v>  CV(*BAR) =</v>
      </c>
      <c r="C192" s="508">
        <f>C86</f>
        <v>0.187</v>
      </c>
      <c r="D192" s="375" t="s">
        <v>3</v>
      </c>
      <c r="E192" s="498">
        <f>E86</f>
        <v>2</v>
      </c>
      <c r="F192" s="375" t="str">
        <f>F86</f>
        <v>= Cost (*BAR) </v>
      </c>
      <c r="G192" s="375"/>
      <c r="H192" s="502">
        <f>H86</f>
        <v>0</v>
      </c>
      <c r="I192" s="501" t="str">
        <f>I86</f>
        <v> comment 3</v>
      </c>
    </row>
    <row r="193" spans="1:9" ht="13.5" thickTop="1">
      <c r="A193" s="5"/>
      <c r="B193" s="358" t="s">
        <v>3</v>
      </c>
      <c r="C193" s="375" t="s">
        <v>3</v>
      </c>
      <c r="D193" s="375" t="s">
        <v>3</v>
      </c>
      <c r="E193" s="375" t="s">
        <v>3</v>
      </c>
      <c r="F193" s="503" t="s">
        <v>3</v>
      </c>
      <c r="G193" s="375" t="s">
        <v>3</v>
      </c>
      <c r="H193" s="504">
        <f>H87</f>
        <v>0</v>
      </c>
      <c r="I193" s="505" t="str">
        <f>I87</f>
        <v>= total</v>
      </c>
    </row>
    <row r="194" spans="1:9" ht="12.75">
      <c r="A194" s="5"/>
      <c r="B194" s="358"/>
      <c r="C194" s="375"/>
      <c r="D194" s="372" t="str">
        <f>D88</f>
        <v>     Ratio for your CHOICE ==&gt;</v>
      </c>
      <c r="E194" s="610" t="e">
        <f>E88</f>
        <v>#DIV/0!</v>
      </c>
      <c r="F194" s="375" t="str">
        <f>F88</f>
        <v>TC per *BAR</v>
      </c>
      <c r="G194" s="375"/>
      <c r="H194" s="375"/>
      <c r="I194" s="482"/>
    </row>
    <row r="195" spans="1:9" ht="12.75">
      <c r="A195" s="5"/>
      <c r="B195" s="358"/>
      <c r="C195" s="375"/>
      <c r="D195" s="375"/>
      <c r="E195" s="506"/>
      <c r="G195" s="376" t="str">
        <f>G89</f>
        <v>using entered number TC =</v>
      </c>
      <c r="H195" s="651">
        <f>H89</f>
        <v>0</v>
      </c>
      <c r="I195" s="482"/>
    </row>
    <row r="196" spans="1:9" ht="12.75">
      <c r="A196" s="5"/>
      <c r="B196" s="365" t="str">
        <f>B90</f>
        <v>  Desired SEc% (Total)==&gt;</v>
      </c>
      <c r="C196" s="375"/>
      <c r="D196" s="509">
        <f>D90</f>
        <v>0.06</v>
      </c>
      <c r="E196" s="375" t="s">
        <v>3</v>
      </c>
      <c r="F196" s="375"/>
      <c r="G196" s="376" t="str">
        <f>G90</f>
        <v>*BAR =</v>
      </c>
      <c r="H196" s="651">
        <f>H90</f>
        <v>0</v>
      </c>
      <c r="I196" s="482"/>
    </row>
    <row r="197" spans="1:9" ht="12.75">
      <c r="A197" s="5"/>
      <c r="B197" s="358" t="s">
        <v>3</v>
      </c>
      <c r="C197" s="375"/>
      <c r="D197" s="375"/>
      <c r="E197" s="375"/>
      <c r="F197" s="375"/>
      <c r="G197" s="375"/>
      <c r="H197" s="375"/>
      <c r="I197" s="482"/>
    </row>
    <row r="198" spans="1:9" ht="12.75">
      <c r="A198" s="5"/>
      <c r="B198" s="359" t="str">
        <f aca="true" t="shared" si="51" ref="B198:G198">B92</f>
        <v>n points</v>
      </c>
      <c r="C198" s="651" t="e">
        <f t="shared" si="51"/>
        <v>#DIV/0!</v>
      </c>
      <c r="D198" s="370" t="str">
        <f t="shared" si="51"/>
        <v>SE%(TC)</v>
      </c>
      <c r="E198" s="499" t="e">
        <f t="shared" si="51"/>
        <v>#DIV/0!</v>
      </c>
      <c r="F198" s="376" t="str">
        <f t="shared" si="51"/>
        <v>Total $</v>
      </c>
      <c r="G198" s="610" t="e">
        <f t="shared" si="51"/>
        <v>#DIV/0!</v>
      </c>
      <c r="H198" s="376"/>
      <c r="I198" s="507"/>
    </row>
    <row r="199" spans="1:9" ht="13.5" thickBot="1">
      <c r="A199" s="5"/>
      <c r="B199" s="359" t="str">
        <f>B93</f>
        <v>n (*BAR)</v>
      </c>
      <c r="C199" s="651" t="e">
        <f>C93</f>
        <v>#DIV/0!</v>
      </c>
      <c r="D199" s="370" t="str">
        <f>D93</f>
        <v>SE%(*BAR)</v>
      </c>
      <c r="E199" s="609" t="e">
        <f>E93</f>
        <v>#DIV/0!</v>
      </c>
      <c r="F199" s="375"/>
      <c r="G199" s="375"/>
      <c r="H199" s="606"/>
      <c r="I199" s="607"/>
    </row>
    <row r="200" spans="1:9" ht="14.25" thickBot="1" thickTop="1">
      <c r="A200" s="5"/>
      <c r="B200" s="485"/>
      <c r="C200" s="484"/>
      <c r="D200" s="608" t="str">
        <f>D94</f>
        <v>SE% Total</v>
      </c>
      <c r="E200" s="596" t="e">
        <f>E94</f>
        <v>#DIV/0!</v>
      </c>
      <c r="F200" s="484"/>
      <c r="G200" s="484"/>
      <c r="H200" s="484"/>
      <c r="I200" s="483"/>
    </row>
    <row r="202" spans="1:9" ht="12.75">
      <c r="A202" s="686">
        <f>A96</f>
        <v>9</v>
      </c>
      <c r="B202" s="625" t="str">
        <f>B96</f>
        <v>    If you need to combine prisms,</v>
      </c>
      <c r="C202" s="626"/>
      <c r="D202" s="627"/>
      <c r="E202" s="628" t="str">
        <f>E96</f>
        <v>BAF #1</v>
      </c>
      <c r="F202" s="649">
        <f>F96</f>
        <v>20</v>
      </c>
      <c r="G202" s="627"/>
      <c r="H202" s="627" t="s">
        <v>3</v>
      </c>
      <c r="I202" s="629"/>
    </row>
    <row r="203" spans="2:9" ht="12.75">
      <c r="B203" s="630" t="str">
        <f>B97</f>
        <v>    this is the resulting BAF</v>
      </c>
      <c r="C203" s="631"/>
      <c r="D203" s="632"/>
      <c r="E203" s="633" t="str">
        <f>E97</f>
        <v>BAF #2</v>
      </c>
      <c r="F203" s="650">
        <f>F97</f>
        <v>30</v>
      </c>
      <c r="G203" s="632"/>
      <c r="H203" s="633" t="str">
        <f>H97</f>
        <v>Combined BAF =</v>
      </c>
      <c r="I203" s="648">
        <f>I97</f>
        <v>98.98979485566359</v>
      </c>
    </row>
  </sheetData>
  <sheetProtection/>
  <printOptions/>
  <pageMargins left="0.75" right="0.75" top="1" bottom="1" header="0.5" footer="0.5"/>
  <pageSetup orientation="portrait" paperSize="9"/>
  <drawing r:id="rId6"/>
  <legacyDrawing r:id="rId5"/>
  <oleObjects>
    <oleObject progId="Document" dvAspect="DVASPECT_ICON" shapeId="2081802" r:id="rId2"/>
    <oleObject progId="Document" dvAspect="DVASPECT_ICON" shapeId="116411" r:id="rId3"/>
    <oleObject progId="Document" dvAspect="DVASPECT_ICON" shapeId="94719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Kim Iles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Iles &amp; Associates</dc:creator>
  <cp:keywords/>
  <dc:description/>
  <cp:lastModifiedBy>Kim Iles</cp:lastModifiedBy>
  <cp:lastPrinted>2003-03-24T01:26:40Z</cp:lastPrinted>
  <dcterms:created xsi:type="dcterms:W3CDTF">1998-12-28T02:08:12Z</dcterms:created>
  <dcterms:modified xsi:type="dcterms:W3CDTF">2018-05-22T19:38:36Z</dcterms:modified>
  <cp:category/>
  <cp:version/>
  <cp:contentType/>
  <cp:contentStatus/>
</cp:coreProperties>
</file>