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embeddings/oleObject2.bin" ContentType="application/vnd.openxmlformats-officedocument.oleObject"/>
  <Override PartName="/xl/comments3.xml" ContentType="application/vnd.openxmlformats-officedocument.spreadsheetml.comments+xml"/>
  <Override PartName="/xl/drawings/drawing4.xml" ContentType="application/vnd.openxmlformats-officedocument.drawing+xml"/>
  <Override PartName="/xl/embeddings/oleObject3.bin" ContentType="application/vnd.openxmlformats-officedocument.oleObject"/>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_ Kims Books\_Kim's books\Book_1_CD\"/>
    </mc:Choice>
  </mc:AlternateContent>
  <xr:revisionPtr revIDLastSave="0" documentId="13_ncr:1_{613AFAC6-367F-4B67-A4AC-71D8A0C8F4A1}" xr6:coauthVersionLast="47" xr6:coauthVersionMax="47" xr10:uidLastSave="{00000000-0000-0000-0000-000000000000}"/>
  <bookViews>
    <workbookView xWindow="-110" yWindow="-110" windowWidth="19420" windowHeight="10420" xr2:uid="{00000000-000D-0000-FFFF-FFFF00000000}"/>
  </bookViews>
  <sheets>
    <sheet name="Data Entry" sheetId="1" r:id="rId1"/>
    <sheet name="Graphs" sheetId="7" r:id="rId2"/>
    <sheet name="extra copy" sheetId="8" r:id="rId3"/>
    <sheet name="Old copy on CD" sheetId="9" r:id="rId4"/>
  </sheets>
  <definedNames>
    <definedName name="_xlnm.Print_Area" localSheetId="0">'Data Entry'!$A$101:$L$206</definedName>
  </definedNames>
  <calcPr calcId="191029"/>
</workbook>
</file>

<file path=xl/calcChain.xml><?xml version="1.0" encoding="utf-8"?>
<calcChain xmlns="http://schemas.openxmlformats.org/spreadsheetml/2006/main">
  <c r="C12" i="1" l="1"/>
  <c r="E12" i="1" s="1"/>
  <c r="H205" i="8"/>
  <c r="F205" i="8"/>
  <c r="E205" i="8"/>
  <c r="B205" i="8"/>
  <c r="F204" i="8"/>
  <c r="E204" i="8"/>
  <c r="B204" i="8"/>
  <c r="A204" i="8"/>
  <c r="D202" i="8"/>
  <c r="D201" i="8"/>
  <c r="B201" i="8"/>
  <c r="F200" i="8"/>
  <c r="D200" i="8"/>
  <c r="B200" i="8"/>
  <c r="H198" i="8"/>
  <c r="G198" i="8"/>
  <c r="B198" i="8"/>
  <c r="G197" i="8"/>
  <c r="F196" i="8"/>
  <c r="D196" i="8"/>
  <c r="F194" i="8"/>
  <c r="B194" i="8"/>
  <c r="F192" i="8"/>
  <c r="B192" i="8"/>
  <c r="H191" i="8"/>
  <c r="E191" i="8"/>
  <c r="C191" i="8"/>
  <c r="B190" i="8"/>
  <c r="A190" i="8"/>
  <c r="B188" i="8"/>
  <c r="F187" i="8"/>
  <c r="D187" i="8"/>
  <c r="B187" i="8"/>
  <c r="F186" i="8"/>
  <c r="E186" i="8"/>
  <c r="D186" i="8"/>
  <c r="B186" i="8"/>
  <c r="G185" i="8"/>
  <c r="B184" i="8"/>
  <c r="A184" i="8"/>
  <c r="B182" i="8"/>
  <c r="I181" i="8"/>
  <c r="E181" i="8"/>
  <c r="D181" i="8"/>
  <c r="B181" i="8"/>
  <c r="I180" i="8"/>
  <c r="G180" i="8"/>
  <c r="E180" i="8"/>
  <c r="C180" i="8"/>
  <c r="F179" i="8"/>
  <c r="E179" i="8"/>
  <c r="I178" i="8"/>
  <c r="G178" i="8"/>
  <c r="F178" i="8"/>
  <c r="D178" i="8"/>
  <c r="I177" i="8"/>
  <c r="G177" i="8"/>
  <c r="F177" i="8"/>
  <c r="D177" i="8"/>
  <c r="B177" i="8"/>
  <c r="A176" i="8"/>
  <c r="B174" i="8"/>
  <c r="I173" i="8"/>
  <c r="G173" i="8"/>
  <c r="E173" i="8"/>
  <c r="D173" i="8"/>
  <c r="B173" i="8"/>
  <c r="I172" i="8"/>
  <c r="G172" i="8"/>
  <c r="E172" i="8"/>
  <c r="C172" i="8"/>
  <c r="E171" i="8"/>
  <c r="I170" i="8"/>
  <c r="D170" i="8"/>
  <c r="G169" i="8"/>
  <c r="F169" i="8"/>
  <c r="D169" i="8"/>
  <c r="B169" i="8"/>
  <c r="B168" i="8"/>
  <c r="A167" i="8"/>
  <c r="B165" i="8"/>
  <c r="H164" i="8"/>
  <c r="F164" i="8"/>
  <c r="B164" i="8"/>
  <c r="H163" i="8"/>
  <c r="F163" i="8"/>
  <c r="C163" i="8"/>
  <c r="B163" i="8"/>
  <c r="I162" i="8"/>
  <c r="H162" i="8"/>
  <c r="G162" i="8"/>
  <c r="E162" i="8"/>
  <c r="D162" i="8"/>
  <c r="B162" i="8"/>
  <c r="I161" i="8"/>
  <c r="G161" i="8"/>
  <c r="C161" i="8"/>
  <c r="I160" i="8"/>
  <c r="G160" i="8"/>
  <c r="D160" i="8"/>
  <c r="C160" i="8"/>
  <c r="G159" i="8"/>
  <c r="F159" i="8"/>
  <c r="E159" i="8"/>
  <c r="C159" i="8"/>
  <c r="G158" i="8"/>
  <c r="F158" i="8"/>
  <c r="C158" i="8"/>
  <c r="G157" i="8"/>
  <c r="E157" i="8"/>
  <c r="C157" i="8"/>
  <c r="J156" i="8"/>
  <c r="H156" i="8"/>
  <c r="C155" i="8"/>
  <c r="E154" i="8"/>
  <c r="A154" i="8"/>
  <c r="B152" i="8"/>
  <c r="H151" i="8"/>
  <c r="F151" i="8"/>
  <c r="C151" i="8"/>
  <c r="B151" i="8"/>
  <c r="H150" i="8"/>
  <c r="F150" i="8"/>
  <c r="C150" i="8"/>
  <c r="B150" i="8"/>
  <c r="I149" i="8"/>
  <c r="H149" i="8"/>
  <c r="G149" i="8"/>
  <c r="E149" i="8"/>
  <c r="D149" i="8"/>
  <c r="B149" i="8"/>
  <c r="I148" i="8"/>
  <c r="G148" i="8"/>
  <c r="C148" i="8"/>
  <c r="I147" i="8"/>
  <c r="G147" i="8"/>
  <c r="D147" i="8"/>
  <c r="C147" i="8"/>
  <c r="G146" i="8"/>
  <c r="D146" i="8"/>
  <c r="C146" i="8"/>
  <c r="H145" i="8"/>
  <c r="G145" i="8"/>
  <c r="D145" i="8"/>
  <c r="C145" i="8"/>
  <c r="H144" i="8"/>
  <c r="G144" i="8"/>
  <c r="D144" i="8"/>
  <c r="C144" i="8"/>
  <c r="I143" i="8"/>
  <c r="H143" i="8"/>
  <c r="B143" i="8"/>
  <c r="H142" i="8"/>
  <c r="F142" i="8"/>
  <c r="E141" i="8"/>
  <c r="A141" i="8"/>
  <c r="F139" i="8"/>
  <c r="D139" i="8"/>
  <c r="J138" i="8"/>
  <c r="I138" i="8"/>
  <c r="F138" i="8"/>
  <c r="B138" i="8"/>
  <c r="I137" i="8"/>
  <c r="F137" i="8"/>
  <c r="D137" i="8"/>
  <c r="C137" i="8"/>
  <c r="B137" i="8"/>
  <c r="I136" i="8"/>
  <c r="G136" i="8"/>
  <c r="F136" i="8"/>
  <c r="E136" i="8"/>
  <c r="D136" i="8"/>
  <c r="C136" i="8"/>
  <c r="B136" i="8"/>
  <c r="K135" i="8"/>
  <c r="I135" i="8"/>
  <c r="F135" i="8"/>
  <c r="B135" i="8"/>
  <c r="A135" i="8"/>
  <c r="E133" i="8"/>
  <c r="B133" i="8"/>
  <c r="H132" i="8"/>
  <c r="E132" i="8"/>
  <c r="E131" i="8"/>
  <c r="B131" i="8"/>
  <c r="G130" i="8"/>
  <c r="E130" i="8"/>
  <c r="B130" i="8"/>
  <c r="I129" i="8"/>
  <c r="H129" i="8"/>
  <c r="F129" i="8"/>
  <c r="D129" i="8"/>
  <c r="C129" i="8"/>
  <c r="H128" i="8"/>
  <c r="B128" i="8"/>
  <c r="A128" i="8"/>
  <c r="H125" i="8"/>
  <c r="E125" i="8"/>
  <c r="H124" i="8"/>
  <c r="E124" i="8"/>
  <c r="C124" i="8"/>
  <c r="H123" i="8"/>
  <c r="E123" i="8"/>
  <c r="C123" i="8"/>
  <c r="B123" i="8"/>
  <c r="H122" i="8"/>
  <c r="E122" i="8"/>
  <c r="C122" i="8"/>
  <c r="B122" i="8"/>
  <c r="I121" i="8"/>
  <c r="H121" i="8"/>
  <c r="E121" i="8"/>
  <c r="C121" i="8"/>
  <c r="B121" i="8"/>
  <c r="G120" i="8"/>
  <c r="B120" i="8"/>
  <c r="A120" i="8"/>
  <c r="C119" i="8"/>
  <c r="C118" i="8"/>
  <c r="I117" i="8"/>
  <c r="C117" i="8"/>
  <c r="C116" i="8"/>
  <c r="C115" i="8"/>
  <c r="B115" i="8"/>
  <c r="H114" i="8"/>
  <c r="D114" i="8"/>
  <c r="B114" i="8"/>
  <c r="H113" i="8"/>
  <c r="F113" i="8"/>
  <c r="D113" i="8"/>
  <c r="B113" i="8"/>
  <c r="D111" i="8"/>
  <c r="C111" i="8"/>
  <c r="H110" i="8"/>
  <c r="F110" i="8"/>
  <c r="D110" i="8"/>
  <c r="F109" i="8"/>
  <c r="D109" i="8"/>
  <c r="I107" i="8"/>
  <c r="H107" i="8"/>
  <c r="F107" i="8"/>
  <c r="E107" i="8"/>
  <c r="C107" i="8"/>
  <c r="B107" i="8"/>
  <c r="I106" i="8"/>
  <c r="H106" i="8"/>
  <c r="I105" i="8"/>
  <c r="H105" i="8"/>
  <c r="F105" i="8"/>
  <c r="E105" i="8"/>
  <c r="C105" i="8"/>
  <c r="B105" i="8"/>
  <c r="H104" i="8"/>
  <c r="E104" i="8"/>
  <c r="A103" i="8"/>
  <c r="A101" i="8"/>
  <c r="I97" i="8"/>
  <c r="I205" i="8" s="1"/>
  <c r="H90" i="8"/>
  <c r="D90" i="8"/>
  <c r="D198" i="8" s="1"/>
  <c r="H89" i="8"/>
  <c r="H197" i="8" s="1"/>
  <c r="E88" i="8"/>
  <c r="E196" i="8" s="1"/>
  <c r="I87" i="8"/>
  <c r="I195" i="8" s="1"/>
  <c r="I86" i="8"/>
  <c r="I194" i="8" s="1"/>
  <c r="H86" i="8"/>
  <c r="H194" i="8" s="1"/>
  <c r="E86" i="8"/>
  <c r="E194" i="8" s="1"/>
  <c r="C86" i="8"/>
  <c r="C194" i="8" s="1"/>
  <c r="I85" i="8"/>
  <c r="I193" i="8" s="1"/>
  <c r="H85" i="8"/>
  <c r="H193" i="8" s="1"/>
  <c r="I84" i="8"/>
  <c r="I192" i="8" s="1"/>
  <c r="H84" i="8"/>
  <c r="H192" i="8" s="1"/>
  <c r="E84" i="8"/>
  <c r="E192" i="8" s="1"/>
  <c r="C84" i="8"/>
  <c r="E79" i="8"/>
  <c r="E187" i="8" s="1"/>
  <c r="E78" i="8"/>
  <c r="C78" i="8"/>
  <c r="E69" i="8"/>
  <c r="H66" i="8"/>
  <c r="H173" i="8" s="1"/>
  <c r="F66" i="8"/>
  <c r="F173" i="8" s="1"/>
  <c r="F65" i="8"/>
  <c r="F172" i="8" s="1"/>
  <c r="D65" i="8"/>
  <c r="D172" i="8" s="1"/>
  <c r="E62" i="8"/>
  <c r="E63" i="8" s="1"/>
  <c r="C62" i="8"/>
  <c r="C169" i="8" s="1"/>
  <c r="V60" i="8"/>
  <c r="U60" i="8"/>
  <c r="T60" i="8"/>
  <c r="S60" i="8"/>
  <c r="R60" i="8"/>
  <c r="V59" i="8"/>
  <c r="U59" i="8"/>
  <c r="S59" i="8"/>
  <c r="D52" i="8"/>
  <c r="D159" i="8" s="1"/>
  <c r="E51" i="8"/>
  <c r="E158" i="8" s="1"/>
  <c r="D51" i="8"/>
  <c r="D158" i="8" s="1"/>
  <c r="F50" i="8"/>
  <c r="F157" i="8" s="1"/>
  <c r="D50" i="8"/>
  <c r="D157" i="8" s="1"/>
  <c r="I49" i="8"/>
  <c r="E44" i="8"/>
  <c r="C43" i="8"/>
  <c r="L41" i="8"/>
  <c r="H41" i="8"/>
  <c r="G44" i="8" s="1"/>
  <c r="D40" i="8"/>
  <c r="F39" i="8"/>
  <c r="F145" i="8" s="1"/>
  <c r="E38" i="8"/>
  <c r="E144" i="8" s="1"/>
  <c r="G33" i="8"/>
  <c r="G139" i="8" s="1"/>
  <c r="AC32" i="8"/>
  <c r="AB32" i="8"/>
  <c r="AA32" i="8"/>
  <c r="Y32" i="8"/>
  <c r="X32" i="8"/>
  <c r="W32" i="8"/>
  <c r="U32" i="8"/>
  <c r="T32" i="8"/>
  <c r="S32" i="8"/>
  <c r="R32" i="8"/>
  <c r="J32" i="8"/>
  <c r="G32" i="8"/>
  <c r="G138" i="8" s="1"/>
  <c r="C32" i="8"/>
  <c r="AB31" i="8"/>
  <c r="X31" i="8"/>
  <c r="W31" i="8"/>
  <c r="V31" i="8"/>
  <c r="T31" i="8"/>
  <c r="R31" i="8"/>
  <c r="G31" i="8"/>
  <c r="G137" i="8" s="1"/>
  <c r="X30" i="8"/>
  <c r="W30" i="8"/>
  <c r="T30" i="8"/>
  <c r="R30" i="8"/>
  <c r="C25" i="8"/>
  <c r="F24" i="8"/>
  <c r="F130" i="8" s="1"/>
  <c r="I23" i="8"/>
  <c r="I18" i="8"/>
  <c r="I124" i="8" s="1"/>
  <c r="F18" i="8"/>
  <c r="F124" i="8" s="1"/>
  <c r="I17" i="8"/>
  <c r="I123" i="8" s="1"/>
  <c r="F17" i="8"/>
  <c r="I16" i="8"/>
  <c r="I122" i="8" s="1"/>
  <c r="F16" i="8"/>
  <c r="F122" i="8" s="1"/>
  <c r="R15" i="8"/>
  <c r="F15" i="8"/>
  <c r="F121" i="8" s="1"/>
  <c r="AE14" i="8"/>
  <c r="AE15" i="8" s="1"/>
  <c r="AE16" i="8" s="1"/>
  <c r="AE17" i="8" s="1"/>
  <c r="AE18" i="8" s="1"/>
  <c r="AE19" i="8" s="1"/>
  <c r="AE20" i="8" s="1"/>
  <c r="AE21" i="8" s="1"/>
  <c r="AE22" i="8" s="1"/>
  <c r="AE23" i="8" s="1"/>
  <c r="AE24" i="8" s="1"/>
  <c r="AE25" i="8" s="1"/>
  <c r="AE26" i="8" s="1"/>
  <c r="AE27" i="8" s="1"/>
  <c r="I14" i="8"/>
  <c r="I120" i="8" s="1"/>
  <c r="AH8" i="8"/>
  <c r="AH9" i="8" s="1"/>
  <c r="AH10" i="8" s="1"/>
  <c r="AH11" i="8" s="1"/>
  <c r="AH12" i="8" s="1"/>
  <c r="AH13" i="8" s="1"/>
  <c r="AH14" i="8" s="1"/>
  <c r="AH15" i="8" s="1"/>
  <c r="AH16" i="8" s="1"/>
  <c r="AH17" i="8" s="1"/>
  <c r="AH18" i="8" s="1"/>
  <c r="AH19" i="8" s="1"/>
  <c r="AH20" i="8" s="1"/>
  <c r="AH21" i="8" s="1"/>
  <c r="AH22" i="8" s="1"/>
  <c r="AH23" i="8" s="1"/>
  <c r="AH24" i="8" s="1"/>
  <c r="AH25" i="8" s="1"/>
  <c r="AH26" i="8" s="1"/>
  <c r="AH27" i="8" s="1"/>
  <c r="AE7" i="8"/>
  <c r="AE8" i="8" s="1"/>
  <c r="AE9" i="8" s="1"/>
  <c r="AE10" i="8" s="1"/>
  <c r="AE11" i="8" s="1"/>
  <c r="AE12" i="8" s="1"/>
  <c r="AE13" i="8" s="1"/>
  <c r="E7" i="8"/>
  <c r="AH6" i="8"/>
  <c r="AH7" i="8" s="1"/>
  <c r="H6" i="8"/>
  <c r="AN5" i="8"/>
  <c r="AM5" i="8"/>
  <c r="AM6" i="8" s="1"/>
  <c r="AM7" i="8" s="1"/>
  <c r="AM8" i="8" s="1"/>
  <c r="AM9" i="8" s="1"/>
  <c r="AM10" i="8" s="1"/>
  <c r="AM11" i="8" s="1"/>
  <c r="AM12" i="8" s="1"/>
  <c r="AM13" i="8" s="1"/>
  <c r="AM14" i="8" s="1"/>
  <c r="AM15" i="8" s="1"/>
  <c r="AM16" i="8" s="1"/>
  <c r="AM17" i="8" s="1"/>
  <c r="AM18" i="8" s="1"/>
  <c r="AM19" i="8" s="1"/>
  <c r="AM20" i="8" s="1"/>
  <c r="AM21" i="8" s="1"/>
  <c r="AM22" i="8" s="1"/>
  <c r="AM23" i="8" s="1"/>
  <c r="AM24" i="8" s="1"/>
  <c r="AM25" i="8" s="1"/>
  <c r="AM26" i="8" s="1"/>
  <c r="AM27" i="8" s="1"/>
  <c r="AH5" i="8"/>
  <c r="AE5" i="8"/>
  <c r="AE6" i="8" s="1"/>
  <c r="M5" i="8"/>
  <c r="U62" i="8" s="1"/>
  <c r="L5" i="8"/>
  <c r="K5" i="8"/>
  <c r="S62" i="8" s="1"/>
  <c r="J5" i="8"/>
  <c r="R62" i="8" s="1"/>
  <c r="AN4" i="8"/>
  <c r="AM4" i="8"/>
  <c r="AL4" i="8"/>
  <c r="AL5" i="8" s="1"/>
  <c r="AL6" i="8" s="1"/>
  <c r="AL7" i="8" s="1"/>
  <c r="AL8" i="8" s="1"/>
  <c r="AL9" i="8" s="1"/>
  <c r="AL10" i="8" s="1"/>
  <c r="AL11" i="8" s="1"/>
  <c r="AL12" i="8" s="1"/>
  <c r="AL13" i="8" s="1"/>
  <c r="AL14" i="8" s="1"/>
  <c r="AL15" i="8" s="1"/>
  <c r="AL16" i="8" s="1"/>
  <c r="AL17" i="8" s="1"/>
  <c r="AL18" i="8" s="1"/>
  <c r="AL19" i="8" s="1"/>
  <c r="AL20" i="8" s="1"/>
  <c r="AL21" i="8" s="1"/>
  <c r="AL22" i="8" s="1"/>
  <c r="AL23" i="8" s="1"/>
  <c r="AL24" i="8" s="1"/>
  <c r="AL25" i="8" s="1"/>
  <c r="AL26" i="8" s="1"/>
  <c r="AL27" i="8" s="1"/>
  <c r="AK4" i="8"/>
  <c r="AK5" i="8" s="1"/>
  <c r="AK6" i="8" s="1"/>
  <c r="AK7" i="8" s="1"/>
  <c r="AK8" i="8" s="1"/>
  <c r="AK9" i="8" s="1"/>
  <c r="AK10" i="8" s="1"/>
  <c r="AK11" i="8" s="1"/>
  <c r="AK12" i="8" s="1"/>
  <c r="AK13" i="8" s="1"/>
  <c r="AK14" i="8" s="1"/>
  <c r="AK15" i="8" s="1"/>
  <c r="AK16" i="8" s="1"/>
  <c r="AK17" i="8" s="1"/>
  <c r="AK18" i="8" s="1"/>
  <c r="AK19" i="8" s="1"/>
  <c r="AK20" i="8" s="1"/>
  <c r="AK21" i="8" s="1"/>
  <c r="AK22" i="8" s="1"/>
  <c r="AK23" i="8" s="1"/>
  <c r="AK24" i="8" s="1"/>
  <c r="AK25" i="8" s="1"/>
  <c r="AK26" i="8" s="1"/>
  <c r="AK27" i="8" s="1"/>
  <c r="AJ4" i="8"/>
  <c r="AI4" i="8"/>
  <c r="AH4" i="8"/>
  <c r="AE4" i="8"/>
  <c r="P4" i="8"/>
  <c r="U1" i="8"/>
  <c r="C80" i="1"/>
  <c r="E79" i="1"/>
  <c r="E78" i="1"/>
  <c r="G78" i="1" s="1"/>
  <c r="G186" i="1" s="1"/>
  <c r="C78" i="1"/>
  <c r="E69" i="1"/>
  <c r="E177" i="1"/>
  <c r="E62" i="1"/>
  <c r="C62" i="1"/>
  <c r="I23" i="1"/>
  <c r="F24" i="1" s="1"/>
  <c r="F130" i="1" s="1"/>
  <c r="I49" i="1"/>
  <c r="L53" i="1" s="1"/>
  <c r="L41" i="1"/>
  <c r="D51" i="1"/>
  <c r="D158" i="1" s="1"/>
  <c r="D50" i="1"/>
  <c r="F39" i="1"/>
  <c r="E38" i="1"/>
  <c r="H203" i="9"/>
  <c r="F203" i="9"/>
  <c r="E203" i="9"/>
  <c r="B203" i="9"/>
  <c r="F202" i="9"/>
  <c r="E202" i="9"/>
  <c r="B202" i="9"/>
  <c r="A202" i="9"/>
  <c r="D200" i="9"/>
  <c r="D199" i="9"/>
  <c r="B199" i="9"/>
  <c r="F198" i="9"/>
  <c r="D198" i="9"/>
  <c r="B198" i="9"/>
  <c r="G196" i="9"/>
  <c r="D196" i="9"/>
  <c r="B196" i="9"/>
  <c r="G195" i="9"/>
  <c r="F194" i="9"/>
  <c r="D194" i="9"/>
  <c r="F192" i="9"/>
  <c r="B192" i="9"/>
  <c r="H191" i="9"/>
  <c r="F190" i="9"/>
  <c r="B190" i="9"/>
  <c r="H189" i="9"/>
  <c r="E189" i="9"/>
  <c r="C189" i="9"/>
  <c r="B188" i="9"/>
  <c r="A188" i="9"/>
  <c r="C186" i="9"/>
  <c r="B186" i="9"/>
  <c r="F185" i="9"/>
  <c r="E185" i="9"/>
  <c r="D185" i="9"/>
  <c r="B185" i="9"/>
  <c r="F184" i="9"/>
  <c r="E184" i="9"/>
  <c r="D184" i="9"/>
  <c r="C184" i="9"/>
  <c r="B184" i="9"/>
  <c r="G183" i="9"/>
  <c r="B182" i="9"/>
  <c r="A182" i="9"/>
  <c r="B180" i="9"/>
  <c r="I179" i="9"/>
  <c r="F179" i="9"/>
  <c r="E179" i="9"/>
  <c r="D179" i="9"/>
  <c r="B179" i="9"/>
  <c r="I178" i="9"/>
  <c r="E178" i="9"/>
  <c r="C178" i="9"/>
  <c r="F177" i="9"/>
  <c r="E177" i="9"/>
  <c r="I176" i="9"/>
  <c r="G176" i="9"/>
  <c r="B176" i="9"/>
  <c r="I175" i="9"/>
  <c r="G175" i="9"/>
  <c r="F175" i="9"/>
  <c r="D175" i="9"/>
  <c r="C175" i="9"/>
  <c r="B175" i="9"/>
  <c r="E174" i="9"/>
  <c r="B173" i="9"/>
  <c r="I172" i="9"/>
  <c r="G172" i="9"/>
  <c r="E172" i="9"/>
  <c r="D172" i="9"/>
  <c r="B172" i="9"/>
  <c r="I171" i="9"/>
  <c r="G171" i="9"/>
  <c r="E171" i="9"/>
  <c r="C171" i="9"/>
  <c r="E170" i="9"/>
  <c r="I169" i="9"/>
  <c r="B169" i="9"/>
  <c r="G168" i="9"/>
  <c r="F168" i="9"/>
  <c r="E168" i="9"/>
  <c r="D168" i="9"/>
  <c r="C168" i="9"/>
  <c r="B168" i="9"/>
  <c r="B167" i="9"/>
  <c r="E166" i="9"/>
  <c r="A166" i="9"/>
  <c r="B164" i="9"/>
  <c r="H163" i="9"/>
  <c r="F163" i="9"/>
  <c r="B163" i="9"/>
  <c r="H162" i="9"/>
  <c r="F162" i="9"/>
  <c r="C162" i="9"/>
  <c r="I161" i="9"/>
  <c r="G161" i="9"/>
  <c r="E161" i="9"/>
  <c r="D161" i="9"/>
  <c r="B161" i="9"/>
  <c r="I160" i="9"/>
  <c r="G160" i="9"/>
  <c r="I159" i="9"/>
  <c r="G159" i="9"/>
  <c r="B159" i="9"/>
  <c r="D158" i="9"/>
  <c r="C158" i="9"/>
  <c r="G157" i="9"/>
  <c r="E157" i="9"/>
  <c r="C157" i="9"/>
  <c r="H156" i="9"/>
  <c r="F156" i="9"/>
  <c r="E156" i="9"/>
  <c r="D156" i="9"/>
  <c r="C156" i="9"/>
  <c r="H155" i="9"/>
  <c r="H154" i="9"/>
  <c r="F154" i="9"/>
  <c r="E153" i="9"/>
  <c r="A153" i="9"/>
  <c r="B152" i="9"/>
  <c r="H151" i="9"/>
  <c r="F151" i="9"/>
  <c r="B151" i="9"/>
  <c r="H150" i="9"/>
  <c r="F150" i="9"/>
  <c r="C150" i="9"/>
  <c r="I149" i="9"/>
  <c r="H149" i="9"/>
  <c r="G149" i="9"/>
  <c r="E149" i="9"/>
  <c r="D149" i="9"/>
  <c r="B149" i="9"/>
  <c r="I148" i="9"/>
  <c r="G148" i="9"/>
  <c r="I147" i="9"/>
  <c r="G147" i="9"/>
  <c r="B147" i="9"/>
  <c r="D146" i="9"/>
  <c r="C146" i="9"/>
  <c r="E145" i="9"/>
  <c r="D145" i="9"/>
  <c r="C145" i="9"/>
  <c r="J144" i="9"/>
  <c r="H144" i="9"/>
  <c r="G144" i="9"/>
  <c r="E144" i="9"/>
  <c r="D144" i="9"/>
  <c r="C144" i="9"/>
  <c r="I143" i="9"/>
  <c r="H143" i="9"/>
  <c r="F143" i="9"/>
  <c r="B143" i="9"/>
  <c r="J142" i="9"/>
  <c r="H142" i="9"/>
  <c r="F142" i="9"/>
  <c r="B142" i="9"/>
  <c r="E141" i="9"/>
  <c r="A141" i="9"/>
  <c r="F139" i="9"/>
  <c r="D139" i="9"/>
  <c r="I138" i="9"/>
  <c r="F138" i="9"/>
  <c r="B138" i="9"/>
  <c r="I137" i="9"/>
  <c r="F137" i="9"/>
  <c r="D137" i="9"/>
  <c r="C137" i="9"/>
  <c r="B137" i="9"/>
  <c r="I136" i="9"/>
  <c r="G136" i="9"/>
  <c r="F136" i="9"/>
  <c r="D136" i="9"/>
  <c r="C136" i="9"/>
  <c r="B136" i="9"/>
  <c r="K135" i="9"/>
  <c r="I135" i="9"/>
  <c r="F135" i="9"/>
  <c r="B135" i="9"/>
  <c r="A135" i="9"/>
  <c r="E133" i="9"/>
  <c r="B133" i="9"/>
  <c r="H132" i="9"/>
  <c r="E132" i="9"/>
  <c r="E131" i="9"/>
  <c r="B131" i="9"/>
  <c r="G130" i="9"/>
  <c r="E130" i="9"/>
  <c r="B130" i="9"/>
  <c r="H129" i="9"/>
  <c r="F129" i="9"/>
  <c r="D129" i="9"/>
  <c r="C129" i="9"/>
  <c r="B128" i="9"/>
  <c r="A128" i="9"/>
  <c r="H125" i="9"/>
  <c r="E125" i="9"/>
  <c r="H124" i="9"/>
  <c r="E124" i="9"/>
  <c r="C124" i="9"/>
  <c r="H123" i="9"/>
  <c r="E123" i="9"/>
  <c r="C123" i="9"/>
  <c r="B123" i="9"/>
  <c r="H122" i="9"/>
  <c r="E122" i="9"/>
  <c r="C122" i="9"/>
  <c r="B122" i="9"/>
  <c r="I121" i="9"/>
  <c r="H121" i="9"/>
  <c r="E121" i="9"/>
  <c r="C121" i="9"/>
  <c r="B121" i="9"/>
  <c r="G120" i="9"/>
  <c r="B120" i="9"/>
  <c r="A120" i="9"/>
  <c r="C119" i="9"/>
  <c r="C118" i="9"/>
  <c r="C117" i="9"/>
  <c r="C116" i="9"/>
  <c r="C115" i="9"/>
  <c r="B115" i="9"/>
  <c r="H114" i="9"/>
  <c r="D114" i="9"/>
  <c r="B114" i="9"/>
  <c r="H113" i="9"/>
  <c r="F113" i="9"/>
  <c r="D113" i="9"/>
  <c r="B113" i="9"/>
  <c r="D111" i="9"/>
  <c r="C111" i="9"/>
  <c r="H110" i="9"/>
  <c r="F110" i="9"/>
  <c r="D110" i="9"/>
  <c r="F109" i="9"/>
  <c r="D109" i="9"/>
  <c r="H108" i="9"/>
  <c r="I107" i="9"/>
  <c r="H107" i="9"/>
  <c r="F107" i="9"/>
  <c r="E107" i="9"/>
  <c r="C107" i="9"/>
  <c r="B107" i="9"/>
  <c r="I106" i="9"/>
  <c r="H106" i="9"/>
  <c r="I105" i="9"/>
  <c r="H105" i="9"/>
  <c r="F105" i="9"/>
  <c r="E105" i="9"/>
  <c r="C105" i="9"/>
  <c r="B105" i="9"/>
  <c r="H104" i="9"/>
  <c r="E104" i="9"/>
  <c r="B103" i="9"/>
  <c r="A103" i="9"/>
  <c r="I97" i="9"/>
  <c r="I203" i="9" s="1"/>
  <c r="H90" i="9"/>
  <c r="H196" i="9" s="1"/>
  <c r="D90" i="9"/>
  <c r="H89" i="9"/>
  <c r="H195" i="9" s="1"/>
  <c r="E88" i="9"/>
  <c r="E194" i="9" s="1"/>
  <c r="I87" i="9"/>
  <c r="I193" i="9" s="1"/>
  <c r="I86" i="9"/>
  <c r="I192" i="9" s="1"/>
  <c r="H86" i="9"/>
  <c r="H192" i="9" s="1"/>
  <c r="E86" i="9"/>
  <c r="E192" i="9" s="1"/>
  <c r="C86" i="9"/>
  <c r="C192" i="9" s="1"/>
  <c r="I85" i="9"/>
  <c r="I191" i="9" s="1"/>
  <c r="H85" i="9"/>
  <c r="I84" i="9"/>
  <c r="I190" i="9" s="1"/>
  <c r="H84" i="9"/>
  <c r="H190" i="9" s="1"/>
  <c r="E84" i="9"/>
  <c r="E190" i="9" s="1"/>
  <c r="C84" i="9"/>
  <c r="C190" i="9" s="1"/>
  <c r="G79" i="9"/>
  <c r="G185" i="9" s="1"/>
  <c r="C79" i="9"/>
  <c r="C185" i="9" s="1"/>
  <c r="G78" i="9"/>
  <c r="G184" i="9" s="1"/>
  <c r="F73" i="9"/>
  <c r="F72" i="9"/>
  <c r="F178" i="9" s="1"/>
  <c r="D72" i="9"/>
  <c r="C70" i="9"/>
  <c r="C176" i="9" s="1"/>
  <c r="E69" i="9"/>
  <c r="H73" i="9" s="1"/>
  <c r="H179" i="9" s="1"/>
  <c r="C69" i="9"/>
  <c r="H66" i="9"/>
  <c r="H172" i="9" s="1"/>
  <c r="F66" i="9"/>
  <c r="F172" i="9" s="1"/>
  <c r="F65" i="9"/>
  <c r="H65" i="9" s="1"/>
  <c r="D65" i="9"/>
  <c r="D171" i="9" s="1"/>
  <c r="C63" i="9"/>
  <c r="C169" i="9" s="1"/>
  <c r="V60" i="9"/>
  <c r="U60" i="9"/>
  <c r="T60" i="9"/>
  <c r="S60" i="9"/>
  <c r="R60" i="9"/>
  <c r="V59" i="9"/>
  <c r="U59" i="9"/>
  <c r="S59" i="9"/>
  <c r="X58" i="9"/>
  <c r="W58" i="9"/>
  <c r="U58" i="9"/>
  <c r="R58" i="9"/>
  <c r="H55" i="9"/>
  <c r="H161" i="9" s="1"/>
  <c r="J50" i="9"/>
  <c r="J156" i="9" s="1"/>
  <c r="I49" i="9"/>
  <c r="I155" i="9" s="1"/>
  <c r="J48" i="9"/>
  <c r="I48" i="9"/>
  <c r="I50" i="9" s="1"/>
  <c r="G45" i="9"/>
  <c r="G151" i="9" s="1"/>
  <c r="G44" i="9"/>
  <c r="G150" i="9" s="1"/>
  <c r="C43" i="9"/>
  <c r="H42" i="9"/>
  <c r="H148" i="9" s="1"/>
  <c r="H41" i="9"/>
  <c r="H147" i="9" s="1"/>
  <c r="F38" i="9"/>
  <c r="F144" i="9" s="1"/>
  <c r="J37" i="9"/>
  <c r="J143" i="9" s="1"/>
  <c r="I36" i="9"/>
  <c r="I142" i="9" s="1"/>
  <c r="AC32" i="9"/>
  <c r="AB32" i="9"/>
  <c r="AA32" i="9"/>
  <c r="Y32" i="9"/>
  <c r="X32" i="9"/>
  <c r="W32" i="9"/>
  <c r="U32" i="9"/>
  <c r="T32" i="9"/>
  <c r="S32" i="9"/>
  <c r="R32" i="9"/>
  <c r="J32" i="9"/>
  <c r="J138" i="9" s="1"/>
  <c r="C32" i="9"/>
  <c r="C138" i="9" s="1"/>
  <c r="AB31" i="9"/>
  <c r="X31" i="9"/>
  <c r="W31" i="9"/>
  <c r="V31" i="9"/>
  <c r="T31" i="9"/>
  <c r="R31" i="9"/>
  <c r="X30" i="9"/>
  <c r="W30" i="9"/>
  <c r="T30" i="9"/>
  <c r="R30" i="9"/>
  <c r="E30" i="9"/>
  <c r="G31" i="9" s="1"/>
  <c r="G137" i="9" s="1"/>
  <c r="I23" i="9"/>
  <c r="H22" i="9"/>
  <c r="H128" i="9" s="1"/>
  <c r="I18" i="9"/>
  <c r="I124" i="9" s="1"/>
  <c r="F18" i="9"/>
  <c r="F124" i="9" s="1"/>
  <c r="I17" i="9"/>
  <c r="I123" i="9" s="1"/>
  <c r="I16" i="9"/>
  <c r="I122" i="9" s="1"/>
  <c r="F16" i="9"/>
  <c r="F122" i="9" s="1"/>
  <c r="F15" i="9"/>
  <c r="F121" i="9" s="1"/>
  <c r="I14" i="9"/>
  <c r="I120" i="9" s="1"/>
  <c r="E8" i="9"/>
  <c r="E110" i="9" s="1"/>
  <c r="AM7" i="9"/>
  <c r="AM8" i="9" s="1"/>
  <c r="AM9" i="9" s="1"/>
  <c r="AM10" i="9" s="1"/>
  <c r="AM11" i="9" s="1"/>
  <c r="AM12" i="9" s="1"/>
  <c r="AM13" i="9" s="1"/>
  <c r="AM14" i="9" s="1"/>
  <c r="AM15" i="9" s="1"/>
  <c r="AM16" i="9" s="1"/>
  <c r="AM17" i="9" s="1"/>
  <c r="AM18" i="9" s="1"/>
  <c r="AM19" i="9" s="1"/>
  <c r="AM20" i="9" s="1"/>
  <c r="AM21" i="9" s="1"/>
  <c r="AM22" i="9" s="1"/>
  <c r="AM23" i="9" s="1"/>
  <c r="AM24" i="9" s="1"/>
  <c r="AM25" i="9" s="1"/>
  <c r="AM26" i="9" s="1"/>
  <c r="AM27" i="9" s="1"/>
  <c r="AE7" i="9"/>
  <c r="AE8" i="9" s="1"/>
  <c r="AE9" i="9" s="1"/>
  <c r="AE10" i="9" s="1"/>
  <c r="AE11" i="9" s="1"/>
  <c r="AE12" i="9" s="1"/>
  <c r="AE13" i="9" s="1"/>
  <c r="AE14" i="9" s="1"/>
  <c r="AE15" i="9" s="1"/>
  <c r="AE16" i="9" s="1"/>
  <c r="AE17" i="9" s="1"/>
  <c r="AE18" i="9" s="1"/>
  <c r="AE19" i="9" s="1"/>
  <c r="AE20" i="9" s="1"/>
  <c r="AE21" i="9" s="1"/>
  <c r="AE22" i="9" s="1"/>
  <c r="AE23" i="9" s="1"/>
  <c r="AE24" i="9" s="1"/>
  <c r="AE25" i="9" s="1"/>
  <c r="AE26" i="9" s="1"/>
  <c r="AE27" i="9" s="1"/>
  <c r="E7" i="9"/>
  <c r="E109" i="9" s="1"/>
  <c r="H6" i="9"/>
  <c r="H87" i="9" s="1"/>
  <c r="H193" i="9" s="1"/>
  <c r="AN5" i="9"/>
  <c r="AN6" i="9" s="1"/>
  <c r="AK5" i="9"/>
  <c r="AK6" i="9" s="1"/>
  <c r="AK7" i="9" s="1"/>
  <c r="AK8" i="9" s="1"/>
  <c r="AK9" i="9" s="1"/>
  <c r="AK10" i="9" s="1"/>
  <c r="AK11" i="9" s="1"/>
  <c r="AK12" i="9" s="1"/>
  <c r="AK13" i="9" s="1"/>
  <c r="AK14" i="9" s="1"/>
  <c r="AK15" i="9" s="1"/>
  <c r="AK16" i="9" s="1"/>
  <c r="AK17" i="9" s="1"/>
  <c r="AK18" i="9" s="1"/>
  <c r="AK19" i="9" s="1"/>
  <c r="AK20" i="9" s="1"/>
  <c r="AK21" i="9" s="1"/>
  <c r="AK22" i="9" s="1"/>
  <c r="AK23" i="9" s="1"/>
  <c r="AK24" i="9" s="1"/>
  <c r="AK25" i="9" s="1"/>
  <c r="AK26" i="9" s="1"/>
  <c r="AK27" i="9" s="1"/>
  <c r="N5" i="9"/>
  <c r="V62" i="9" s="1"/>
  <c r="L5" i="9"/>
  <c r="T62" i="9" s="1"/>
  <c r="J5" i="9"/>
  <c r="AN4" i="9"/>
  <c r="AM4" i="9"/>
  <c r="AM5" i="9" s="1"/>
  <c r="AM6" i="9" s="1"/>
  <c r="AL4" i="9"/>
  <c r="AL5" i="9" s="1"/>
  <c r="AL6" i="9" s="1"/>
  <c r="AL7" i="9" s="1"/>
  <c r="AL8" i="9" s="1"/>
  <c r="AL9" i="9" s="1"/>
  <c r="AL10" i="9" s="1"/>
  <c r="AL11" i="9" s="1"/>
  <c r="AL12" i="9" s="1"/>
  <c r="AL13" i="9" s="1"/>
  <c r="AL14" i="9" s="1"/>
  <c r="AL15" i="9" s="1"/>
  <c r="AL16" i="9" s="1"/>
  <c r="AL17" i="9" s="1"/>
  <c r="AL18" i="9" s="1"/>
  <c r="AL19" i="9" s="1"/>
  <c r="AL20" i="9" s="1"/>
  <c r="AL21" i="9" s="1"/>
  <c r="AL22" i="9" s="1"/>
  <c r="AL23" i="9" s="1"/>
  <c r="AL24" i="9" s="1"/>
  <c r="AL25" i="9" s="1"/>
  <c r="AL26" i="9" s="1"/>
  <c r="AL27" i="9" s="1"/>
  <c r="AK4" i="9"/>
  <c r="AJ4" i="9"/>
  <c r="AJ5" i="9" s="1"/>
  <c r="AJ6" i="9" s="1"/>
  <c r="AH4" i="9"/>
  <c r="AH5" i="9" s="1"/>
  <c r="AH6" i="9" s="1"/>
  <c r="AH7" i="9" s="1"/>
  <c r="AH8" i="9" s="1"/>
  <c r="AH9" i="9" s="1"/>
  <c r="AH10" i="9" s="1"/>
  <c r="AH11" i="9" s="1"/>
  <c r="AH12" i="9" s="1"/>
  <c r="AH13" i="9" s="1"/>
  <c r="AH14" i="9" s="1"/>
  <c r="AH15" i="9" s="1"/>
  <c r="AH16" i="9" s="1"/>
  <c r="AH17" i="9" s="1"/>
  <c r="AH18" i="9" s="1"/>
  <c r="AH19" i="9" s="1"/>
  <c r="AH20" i="9" s="1"/>
  <c r="AH21" i="9" s="1"/>
  <c r="AH22" i="9" s="1"/>
  <c r="AH23" i="9" s="1"/>
  <c r="AH24" i="9" s="1"/>
  <c r="AH25" i="9" s="1"/>
  <c r="AH26" i="9" s="1"/>
  <c r="AH27" i="9" s="1"/>
  <c r="AG4" i="9"/>
  <c r="AG5" i="9" s="1"/>
  <c r="AE4" i="9"/>
  <c r="AE5" i="9" s="1"/>
  <c r="AE6" i="9" s="1"/>
  <c r="P4" i="9"/>
  <c r="X61" i="9" s="1"/>
  <c r="U1" i="9"/>
  <c r="R15" i="9" s="1"/>
  <c r="I117" i="1"/>
  <c r="A101" i="1"/>
  <c r="D170" i="1"/>
  <c r="E170" i="1"/>
  <c r="F178" i="1"/>
  <c r="D178" i="1"/>
  <c r="G180" i="1"/>
  <c r="E159" i="1"/>
  <c r="E51" i="1"/>
  <c r="E158" i="1" s="1"/>
  <c r="H162" i="1"/>
  <c r="B151" i="1"/>
  <c r="H151" i="1"/>
  <c r="F151" i="1"/>
  <c r="C151" i="1"/>
  <c r="H150" i="1"/>
  <c r="F150" i="1"/>
  <c r="C150" i="1"/>
  <c r="B150" i="1"/>
  <c r="I149" i="1"/>
  <c r="H149" i="1"/>
  <c r="G149" i="1"/>
  <c r="E149" i="1"/>
  <c r="D149" i="1"/>
  <c r="B149" i="1"/>
  <c r="I148" i="1"/>
  <c r="G148" i="1"/>
  <c r="C148" i="1"/>
  <c r="I147" i="1"/>
  <c r="G147" i="1"/>
  <c r="D147" i="1"/>
  <c r="C147" i="1"/>
  <c r="G146" i="1"/>
  <c r="C146" i="1"/>
  <c r="H145" i="1"/>
  <c r="G145" i="1"/>
  <c r="C145" i="1"/>
  <c r="H144" i="1"/>
  <c r="G144" i="1"/>
  <c r="C144" i="1"/>
  <c r="H143" i="1"/>
  <c r="B143" i="1"/>
  <c r="A141" i="1"/>
  <c r="E141" i="1"/>
  <c r="F142" i="1"/>
  <c r="H142" i="1"/>
  <c r="B152" i="1"/>
  <c r="A154" i="1"/>
  <c r="B165" i="1"/>
  <c r="B164" i="1"/>
  <c r="F164" i="1"/>
  <c r="F163" i="1"/>
  <c r="H164" i="1"/>
  <c r="H163" i="1"/>
  <c r="I162" i="1"/>
  <c r="I161" i="1"/>
  <c r="I160" i="1"/>
  <c r="J156" i="1"/>
  <c r="H156" i="1"/>
  <c r="G162" i="1"/>
  <c r="E162" i="1"/>
  <c r="D162" i="1"/>
  <c r="G161" i="1"/>
  <c r="G160" i="1"/>
  <c r="D160" i="1"/>
  <c r="C163" i="1"/>
  <c r="B163" i="1"/>
  <c r="B162" i="1"/>
  <c r="C161" i="1"/>
  <c r="C160" i="1"/>
  <c r="C159" i="1"/>
  <c r="C158" i="1"/>
  <c r="C157" i="1"/>
  <c r="G159" i="1"/>
  <c r="G158" i="1"/>
  <c r="G157" i="1"/>
  <c r="C155" i="1"/>
  <c r="E154" i="1"/>
  <c r="C32" i="1"/>
  <c r="E31" i="1" s="1"/>
  <c r="I97" i="1"/>
  <c r="I205" i="1" s="1"/>
  <c r="E7" i="1"/>
  <c r="AG4" i="1" s="1"/>
  <c r="G33" i="1"/>
  <c r="G139" i="1" s="1"/>
  <c r="U1" i="1"/>
  <c r="R15" i="1" s="1"/>
  <c r="R26" i="7"/>
  <c r="A176" i="1"/>
  <c r="Z3" i="7"/>
  <c r="Z4" i="7" s="1"/>
  <c r="R25" i="7"/>
  <c r="F16" i="1"/>
  <c r="F15" i="1"/>
  <c r="F121" i="1" s="1"/>
  <c r="P4" i="1"/>
  <c r="P5" i="1" s="1"/>
  <c r="H6" i="1"/>
  <c r="H87" i="1" s="1"/>
  <c r="H195" i="1" s="1"/>
  <c r="J5" i="1"/>
  <c r="K5" i="1" s="1"/>
  <c r="L5" i="1"/>
  <c r="T62" i="1" s="1"/>
  <c r="S59" i="1"/>
  <c r="V59" i="1"/>
  <c r="V60" i="1"/>
  <c r="U60" i="1"/>
  <c r="T60" i="1"/>
  <c r="S60" i="1"/>
  <c r="R60" i="1"/>
  <c r="U59" i="1"/>
  <c r="AE4" i="1"/>
  <c r="AE5" i="1" s="1"/>
  <c r="AE6" i="1" s="1"/>
  <c r="AE7" i="1" s="1"/>
  <c r="AE8" i="1" s="1"/>
  <c r="AE9" i="1" s="1"/>
  <c r="AE10" i="1" s="1"/>
  <c r="AE11" i="1" s="1"/>
  <c r="AE12" i="1" s="1"/>
  <c r="AE13" i="1" s="1"/>
  <c r="AE14" i="1" s="1"/>
  <c r="AE15" i="1" s="1"/>
  <c r="AE16" i="1" s="1"/>
  <c r="AE17" i="1" s="1"/>
  <c r="AE18" i="1" s="1"/>
  <c r="AE19" i="1" s="1"/>
  <c r="AE20" i="1" s="1"/>
  <c r="AE21" i="1" s="1"/>
  <c r="AE22" i="1" s="1"/>
  <c r="AE23" i="1" s="1"/>
  <c r="AE24" i="1" s="1"/>
  <c r="AE25" i="1" s="1"/>
  <c r="AE26" i="1" s="1"/>
  <c r="AE27" i="1" s="1"/>
  <c r="AK4" i="1"/>
  <c r="AK5" i="1" s="1"/>
  <c r="AK6" i="1" s="1"/>
  <c r="AK7" i="1" s="1"/>
  <c r="AK8" i="1" s="1"/>
  <c r="AK9" i="1" s="1"/>
  <c r="AK10" i="1" s="1"/>
  <c r="AK11" i="1" s="1"/>
  <c r="AK12" i="1" s="1"/>
  <c r="AK13" i="1" s="1"/>
  <c r="AK14" i="1" s="1"/>
  <c r="AK15" i="1" s="1"/>
  <c r="AK16" i="1" s="1"/>
  <c r="AK17" i="1" s="1"/>
  <c r="AK18" i="1" s="1"/>
  <c r="AK19" i="1" s="1"/>
  <c r="AK20" i="1" s="1"/>
  <c r="AK21" i="1" s="1"/>
  <c r="AK22" i="1" s="1"/>
  <c r="AK23" i="1" s="1"/>
  <c r="AK24" i="1" s="1"/>
  <c r="AK25" i="1" s="1"/>
  <c r="AK26" i="1" s="1"/>
  <c r="AK27" i="1" s="1"/>
  <c r="AL4" i="1"/>
  <c r="AL5" i="1" s="1"/>
  <c r="AL6" i="1" s="1"/>
  <c r="AL7" i="1" s="1"/>
  <c r="AL8" i="1" s="1"/>
  <c r="AL9" i="1" s="1"/>
  <c r="AL10" i="1" s="1"/>
  <c r="AL11" i="1" s="1"/>
  <c r="AL12" i="1" s="1"/>
  <c r="AL13" i="1" s="1"/>
  <c r="AL14" i="1" s="1"/>
  <c r="AL15" i="1" s="1"/>
  <c r="AL16" i="1" s="1"/>
  <c r="AL17" i="1" s="1"/>
  <c r="AL18" i="1" s="1"/>
  <c r="AL19" i="1" s="1"/>
  <c r="AL20" i="1" s="1"/>
  <c r="AL21" i="1" s="1"/>
  <c r="AL22" i="1" s="1"/>
  <c r="AL23" i="1" s="1"/>
  <c r="AL24" i="1" s="1"/>
  <c r="AL25" i="1" s="1"/>
  <c r="AL26" i="1" s="1"/>
  <c r="AL27" i="1" s="1"/>
  <c r="AM4" i="1"/>
  <c r="AM5" i="1" s="1"/>
  <c r="AH4" i="1"/>
  <c r="AH5" i="1" s="1"/>
  <c r="AH6" i="1" s="1"/>
  <c r="AH7" i="1" s="1"/>
  <c r="AH8" i="1" s="1"/>
  <c r="AH9" i="1" s="1"/>
  <c r="AH10" i="1" s="1"/>
  <c r="AH11" i="1" s="1"/>
  <c r="AH12" i="1" s="1"/>
  <c r="AH13" i="1" s="1"/>
  <c r="AH14" i="1" s="1"/>
  <c r="AH15" i="1" s="1"/>
  <c r="AH16" i="1" s="1"/>
  <c r="AH17" i="1" s="1"/>
  <c r="AH18" i="1" s="1"/>
  <c r="AH19" i="1" s="1"/>
  <c r="AH20" i="1" s="1"/>
  <c r="AH21" i="1" s="1"/>
  <c r="AH22" i="1" s="1"/>
  <c r="AH23" i="1" s="1"/>
  <c r="AH24" i="1" s="1"/>
  <c r="AH25" i="1" s="1"/>
  <c r="AH26" i="1" s="1"/>
  <c r="AH27" i="1" s="1"/>
  <c r="I17" i="1"/>
  <c r="I123" i="1" s="1"/>
  <c r="I16" i="1"/>
  <c r="I122" i="1" s="1"/>
  <c r="A204" i="1"/>
  <c r="H205" i="1"/>
  <c r="F205" i="1"/>
  <c r="E205" i="1"/>
  <c r="F204" i="1"/>
  <c r="E204" i="1"/>
  <c r="B205" i="1"/>
  <c r="B204" i="1"/>
  <c r="C111" i="1"/>
  <c r="C188" i="1"/>
  <c r="C79" i="1"/>
  <c r="C187" i="1" s="1"/>
  <c r="B187" i="1"/>
  <c r="B188" i="1"/>
  <c r="B181" i="1"/>
  <c r="C180" i="1"/>
  <c r="D181" i="1"/>
  <c r="F177" i="1"/>
  <c r="I181" i="1"/>
  <c r="I180" i="1"/>
  <c r="B177" i="1"/>
  <c r="D173" i="1"/>
  <c r="B173" i="1"/>
  <c r="E125" i="1"/>
  <c r="G120" i="1"/>
  <c r="H110" i="1"/>
  <c r="A167" i="1"/>
  <c r="A135" i="1"/>
  <c r="A128" i="1"/>
  <c r="I87" i="1"/>
  <c r="I195" i="1" s="1"/>
  <c r="I86" i="1"/>
  <c r="I194" i="1" s="1"/>
  <c r="I85" i="1"/>
  <c r="I193" i="1" s="1"/>
  <c r="I84" i="1"/>
  <c r="I192" i="1" s="1"/>
  <c r="C84" i="1"/>
  <c r="C192" i="1" s="1"/>
  <c r="C86" i="1"/>
  <c r="C194" i="1" s="1"/>
  <c r="D90" i="1"/>
  <c r="D198" i="1" s="1"/>
  <c r="E88" i="1"/>
  <c r="E196" i="1" s="1"/>
  <c r="B201" i="1"/>
  <c r="B200" i="1"/>
  <c r="D202" i="1"/>
  <c r="D201" i="1"/>
  <c r="D200" i="1"/>
  <c r="E84" i="1"/>
  <c r="E192" i="1" s="1"/>
  <c r="E86" i="1"/>
  <c r="E194" i="1" s="1"/>
  <c r="H84" i="1"/>
  <c r="H192" i="1" s="1"/>
  <c r="H85" i="1"/>
  <c r="H193" i="1" s="1"/>
  <c r="H86" i="1"/>
  <c r="H194" i="1" s="1"/>
  <c r="F200" i="1"/>
  <c r="B198" i="1"/>
  <c r="D196" i="1"/>
  <c r="F196" i="1"/>
  <c r="G198" i="1"/>
  <c r="G197" i="1"/>
  <c r="H90" i="1"/>
  <c r="H198" i="1" s="1"/>
  <c r="H89" i="1"/>
  <c r="H197" i="1" s="1"/>
  <c r="H191" i="1"/>
  <c r="F194" i="1"/>
  <c r="F192" i="1"/>
  <c r="E191" i="1"/>
  <c r="B194" i="1"/>
  <c r="C191" i="1"/>
  <c r="B192" i="1"/>
  <c r="B190" i="1"/>
  <c r="A190" i="1"/>
  <c r="G185" i="1"/>
  <c r="F187" i="1"/>
  <c r="E187" i="1"/>
  <c r="D187" i="1"/>
  <c r="F186" i="1"/>
  <c r="E186" i="1"/>
  <c r="D186" i="1"/>
  <c r="C186" i="1"/>
  <c r="B186" i="1"/>
  <c r="B184" i="1"/>
  <c r="A184" i="1"/>
  <c r="B182" i="1"/>
  <c r="B174" i="1"/>
  <c r="E179" i="1"/>
  <c r="E181" i="1"/>
  <c r="E180" i="1"/>
  <c r="F179" i="1"/>
  <c r="I177" i="1"/>
  <c r="I178" i="1"/>
  <c r="G178" i="1"/>
  <c r="G177" i="1"/>
  <c r="E171" i="1"/>
  <c r="C172" i="1"/>
  <c r="E173" i="1"/>
  <c r="E172" i="1"/>
  <c r="G173" i="1"/>
  <c r="G172" i="1"/>
  <c r="I173" i="1"/>
  <c r="I172" i="1"/>
  <c r="I170" i="1"/>
  <c r="G169" i="1"/>
  <c r="F169" i="1"/>
  <c r="E169" i="1"/>
  <c r="D169" i="1"/>
  <c r="D177" i="1" s="1"/>
  <c r="B169" i="1"/>
  <c r="B168" i="1"/>
  <c r="F159" i="1"/>
  <c r="K135" i="1"/>
  <c r="J32" i="1"/>
  <c r="J138" i="1" s="1"/>
  <c r="I138" i="1"/>
  <c r="I137" i="1"/>
  <c r="I136" i="1"/>
  <c r="I135" i="1"/>
  <c r="F139" i="1"/>
  <c r="G32" i="1"/>
  <c r="G138" i="1" s="1"/>
  <c r="F138" i="1"/>
  <c r="G31" i="1"/>
  <c r="G137" i="1" s="1"/>
  <c r="F137" i="1"/>
  <c r="G136" i="1"/>
  <c r="F136" i="1"/>
  <c r="F135" i="1"/>
  <c r="D139" i="1"/>
  <c r="D137" i="1"/>
  <c r="D136" i="1"/>
  <c r="B138" i="1"/>
  <c r="C137" i="1"/>
  <c r="C136" i="1"/>
  <c r="B137" i="1"/>
  <c r="B136" i="1"/>
  <c r="B135" i="1"/>
  <c r="B128" i="1"/>
  <c r="B133" i="1"/>
  <c r="B131" i="1"/>
  <c r="B130" i="1"/>
  <c r="C129" i="1"/>
  <c r="D129" i="1"/>
  <c r="E133" i="1"/>
  <c r="E132" i="1"/>
  <c r="E131" i="1"/>
  <c r="E130" i="1"/>
  <c r="F129" i="1"/>
  <c r="H132" i="1"/>
  <c r="G130" i="1"/>
  <c r="H129" i="1"/>
  <c r="H128" i="1"/>
  <c r="H125" i="1"/>
  <c r="H124" i="1"/>
  <c r="H123" i="1"/>
  <c r="H122" i="1"/>
  <c r="H121" i="1"/>
  <c r="F18" i="1"/>
  <c r="F124" i="1" s="1"/>
  <c r="I121" i="1"/>
  <c r="I14" i="1"/>
  <c r="I120" i="1" s="1"/>
  <c r="E124" i="1"/>
  <c r="E123" i="1"/>
  <c r="E122" i="1"/>
  <c r="E121" i="1"/>
  <c r="C122" i="1"/>
  <c r="C121" i="1"/>
  <c r="C124" i="1"/>
  <c r="C123" i="1"/>
  <c r="B123" i="1"/>
  <c r="B122" i="1"/>
  <c r="B121" i="1"/>
  <c r="B120" i="1"/>
  <c r="A120" i="1"/>
  <c r="C115" i="1"/>
  <c r="B115" i="1"/>
  <c r="H114" i="1"/>
  <c r="H113" i="1"/>
  <c r="C118" i="1"/>
  <c r="F110" i="1"/>
  <c r="F109" i="1"/>
  <c r="F113" i="1"/>
  <c r="D114" i="1"/>
  <c r="D113" i="1"/>
  <c r="B114" i="1"/>
  <c r="B113" i="1"/>
  <c r="A103" i="1"/>
  <c r="E104" i="1"/>
  <c r="H104" i="1"/>
  <c r="F107" i="1"/>
  <c r="F105" i="1"/>
  <c r="D110" i="1"/>
  <c r="D109" i="1"/>
  <c r="B107" i="1"/>
  <c r="B105" i="1"/>
  <c r="C119" i="1"/>
  <c r="C117" i="1"/>
  <c r="C116" i="1"/>
  <c r="I107" i="1"/>
  <c r="I106" i="1"/>
  <c r="I105" i="1"/>
  <c r="H107" i="1"/>
  <c r="H106" i="1"/>
  <c r="H105" i="1"/>
  <c r="E107" i="1"/>
  <c r="E105" i="1"/>
  <c r="C107" i="1"/>
  <c r="C105" i="1"/>
  <c r="D111" i="1"/>
  <c r="AC32" i="1"/>
  <c r="AB32" i="1"/>
  <c r="AA32" i="1"/>
  <c r="Y32" i="1"/>
  <c r="X32" i="1"/>
  <c r="W32" i="1"/>
  <c r="U32" i="1"/>
  <c r="T32" i="1"/>
  <c r="S32" i="1"/>
  <c r="R32" i="1"/>
  <c r="AB31" i="1"/>
  <c r="X31" i="1"/>
  <c r="W31" i="1"/>
  <c r="V31" i="1"/>
  <c r="T31" i="1"/>
  <c r="R31" i="1"/>
  <c r="X30" i="1"/>
  <c r="W30" i="1"/>
  <c r="T30" i="1"/>
  <c r="R30" i="1"/>
  <c r="R44" i="8" l="1"/>
  <c r="R14" i="8"/>
  <c r="R16" i="8"/>
  <c r="AF15" i="8"/>
  <c r="AN6" i="8"/>
  <c r="E109" i="8"/>
  <c r="AG4" i="8"/>
  <c r="C12" i="8"/>
  <c r="E8" i="8"/>
  <c r="E110" i="8" s="1"/>
  <c r="C80" i="8"/>
  <c r="F123" i="8"/>
  <c r="M29" i="8" s="1"/>
  <c r="I19" i="8"/>
  <c r="I125" i="8" s="1"/>
  <c r="AO4" i="8"/>
  <c r="AI5" i="8"/>
  <c r="AI6" i="8" s="1"/>
  <c r="AI7" i="8" s="1"/>
  <c r="AI8" i="8" s="1"/>
  <c r="AI9" i="8" s="1"/>
  <c r="AI10" i="8" s="1"/>
  <c r="AI11" i="8" s="1"/>
  <c r="AI12" i="8" s="1"/>
  <c r="AI13" i="8" s="1"/>
  <c r="AI14" i="8" s="1"/>
  <c r="AI15" i="8" s="1"/>
  <c r="AI16" i="8" s="1"/>
  <c r="AI17" i="8" s="1"/>
  <c r="AI18" i="8" s="1"/>
  <c r="AI19" i="8" s="1"/>
  <c r="AI20" i="8" s="1"/>
  <c r="AI21" i="8" s="1"/>
  <c r="AI22" i="8" s="1"/>
  <c r="AI23" i="8" s="1"/>
  <c r="AI24" i="8" s="1"/>
  <c r="AI25" i="8" s="1"/>
  <c r="AI26" i="8" s="1"/>
  <c r="AI27" i="8" s="1"/>
  <c r="T62" i="8"/>
  <c r="N5" i="8"/>
  <c r="V62" i="8" s="1"/>
  <c r="X61" i="8"/>
  <c r="P5" i="8"/>
  <c r="C138" i="8"/>
  <c r="E31" i="8"/>
  <c r="E137" i="8" s="1"/>
  <c r="E150" i="8"/>
  <c r="E45" i="8"/>
  <c r="E151" i="8" s="1"/>
  <c r="G78" i="8"/>
  <c r="G186" i="8" s="1"/>
  <c r="C186" i="8"/>
  <c r="D25" i="8"/>
  <c r="D131" i="8" s="1"/>
  <c r="C24" i="8"/>
  <c r="L4" i="8"/>
  <c r="T61" i="8" s="1"/>
  <c r="C131" i="8"/>
  <c r="AJ5" i="8"/>
  <c r="L53" i="8"/>
  <c r="H53" i="8"/>
  <c r="I156" i="8"/>
  <c r="H108" i="8"/>
  <c r="H87" i="8"/>
  <c r="H195" i="8" s="1"/>
  <c r="G150" i="8"/>
  <c r="G45" i="8"/>
  <c r="G151" i="8" s="1"/>
  <c r="C149" i="8"/>
  <c r="D44" i="8"/>
  <c r="F40" i="8"/>
  <c r="E40" i="8"/>
  <c r="E177" i="8"/>
  <c r="H65" i="8"/>
  <c r="H172" i="8" s="1"/>
  <c r="C66" i="8"/>
  <c r="C173" i="8" s="1"/>
  <c r="C69" i="8"/>
  <c r="C93" i="8"/>
  <c r="H147" i="8"/>
  <c r="E170" i="8"/>
  <c r="C192" i="8"/>
  <c r="H42" i="8"/>
  <c r="H148" i="8" s="1"/>
  <c r="E169" i="8"/>
  <c r="G79" i="1"/>
  <c r="G187" i="1" s="1"/>
  <c r="D52" i="1"/>
  <c r="D159" i="1" s="1"/>
  <c r="AG6" i="9"/>
  <c r="AJ7" i="9"/>
  <c r="AN7" i="9"/>
  <c r="R44" i="9"/>
  <c r="R14" i="9"/>
  <c r="R16" i="9"/>
  <c r="AF15" i="9"/>
  <c r="I129" i="9"/>
  <c r="F24" i="9"/>
  <c r="D178" i="9"/>
  <c r="C73" i="9"/>
  <c r="C179" i="9" s="1"/>
  <c r="P5" i="9"/>
  <c r="R62" i="9"/>
  <c r="K5" i="9"/>
  <c r="AI4" i="9"/>
  <c r="F17" i="9"/>
  <c r="E136" i="9"/>
  <c r="E31" i="9"/>
  <c r="E137" i="9" s="1"/>
  <c r="G33" i="9"/>
  <c r="G139" i="9" s="1"/>
  <c r="G32" i="9"/>
  <c r="G138" i="9" s="1"/>
  <c r="C12" i="9"/>
  <c r="C149" i="9"/>
  <c r="E44" i="9"/>
  <c r="E150" i="9" s="1"/>
  <c r="D44" i="9"/>
  <c r="D150" i="9" s="1"/>
  <c r="I156" i="9"/>
  <c r="D51" i="9"/>
  <c r="J154" i="9"/>
  <c r="J49" i="9"/>
  <c r="J155" i="9" s="1"/>
  <c r="H63" i="9"/>
  <c r="H169" i="9" s="1"/>
  <c r="H171" i="9"/>
  <c r="F171" i="9"/>
  <c r="H72" i="9"/>
  <c r="C93" i="9"/>
  <c r="E175" i="9"/>
  <c r="I38" i="9"/>
  <c r="I144" i="9" s="1"/>
  <c r="I154" i="9"/>
  <c r="C66" i="9"/>
  <c r="C172" i="9" s="1"/>
  <c r="D157" i="1"/>
  <c r="E157" i="1"/>
  <c r="I129" i="1"/>
  <c r="AI4" i="1"/>
  <c r="AO4" i="1" s="1"/>
  <c r="AO5" i="1" s="1"/>
  <c r="AO6" i="1" s="1"/>
  <c r="AO7" i="1" s="1"/>
  <c r="AO8" i="1" s="1"/>
  <c r="C25" i="1"/>
  <c r="C24" i="1" s="1"/>
  <c r="C27" i="1" s="1"/>
  <c r="E137" i="1"/>
  <c r="AA3" i="7"/>
  <c r="Y3" i="7" s="1"/>
  <c r="Z5" i="7"/>
  <c r="X5" i="7" s="1"/>
  <c r="AA4" i="7"/>
  <c r="Y4" i="7" s="1"/>
  <c r="C93" i="1"/>
  <c r="C201" i="1" s="1"/>
  <c r="R62" i="1"/>
  <c r="M5" i="1"/>
  <c r="U62" i="1" s="1"/>
  <c r="S62" i="1"/>
  <c r="P6" i="1"/>
  <c r="X62" i="1"/>
  <c r="F158" i="1"/>
  <c r="AN4" i="1"/>
  <c r="AN5" i="1" s="1"/>
  <c r="X61" i="1"/>
  <c r="C138" i="1"/>
  <c r="N5" i="1"/>
  <c r="V62" i="1" s="1"/>
  <c r="R16" i="1"/>
  <c r="AF15" i="1"/>
  <c r="R44" i="1"/>
  <c r="R14" i="1"/>
  <c r="E136" i="1"/>
  <c r="X3" i="7"/>
  <c r="X4" i="7"/>
  <c r="F17" i="1"/>
  <c r="I19" i="1" s="1"/>
  <c r="I125" i="1" s="1"/>
  <c r="E109" i="1"/>
  <c r="E8" i="1"/>
  <c r="E110" i="1" s="1"/>
  <c r="AJ4" i="1"/>
  <c r="AJ5" i="1" s="1"/>
  <c r="AJ6" i="1" s="1"/>
  <c r="AG5" i="1"/>
  <c r="F122" i="1"/>
  <c r="AM6" i="1"/>
  <c r="AM7" i="1" s="1"/>
  <c r="H108" i="1"/>
  <c r="I18" i="1"/>
  <c r="I124" i="1" s="1"/>
  <c r="C114" i="1" l="1"/>
  <c r="C11" i="1"/>
  <c r="E11" i="1" s="1"/>
  <c r="C55" i="8"/>
  <c r="H160" i="8"/>
  <c r="H54" i="8"/>
  <c r="H161" i="8" s="1"/>
  <c r="G56" i="8"/>
  <c r="R45" i="8"/>
  <c r="AF16" i="8"/>
  <c r="R17" i="8"/>
  <c r="H63" i="8"/>
  <c r="AG5" i="8"/>
  <c r="AJ6" i="8"/>
  <c r="C130" i="8"/>
  <c r="C27" i="8"/>
  <c r="D24" i="8"/>
  <c r="J4" i="8"/>
  <c r="G79" i="8"/>
  <c r="G187" i="8" s="1"/>
  <c r="C79" i="8"/>
  <c r="C187" i="8" s="1"/>
  <c r="C188" i="8"/>
  <c r="D150" i="8"/>
  <c r="D45" i="8"/>
  <c r="D151" i="8" s="1"/>
  <c r="C114" i="8"/>
  <c r="K31" i="8"/>
  <c r="K137" i="8" s="1"/>
  <c r="E12" i="8"/>
  <c r="C11" i="8"/>
  <c r="C92" i="8"/>
  <c r="C201" i="8"/>
  <c r="E93" i="8"/>
  <c r="D16" i="8"/>
  <c r="D122" i="8" s="1"/>
  <c r="AO5" i="8"/>
  <c r="X62" i="8"/>
  <c r="P6" i="8"/>
  <c r="R43" i="8"/>
  <c r="R13" i="8"/>
  <c r="AF14" i="8"/>
  <c r="F72" i="8"/>
  <c r="D72" i="8"/>
  <c r="E70" i="8"/>
  <c r="E178" i="8" s="1"/>
  <c r="E146" i="8"/>
  <c r="E39" i="8"/>
  <c r="E145" i="8" s="1"/>
  <c r="AN7" i="8"/>
  <c r="F146" i="8"/>
  <c r="F38" i="8"/>
  <c r="F144" i="8" s="1"/>
  <c r="H53" i="1"/>
  <c r="C55" i="1" s="1"/>
  <c r="I156" i="1"/>
  <c r="AN8" i="9"/>
  <c r="F51" i="9"/>
  <c r="F157" i="9" s="1"/>
  <c r="D157" i="9"/>
  <c r="H53" i="9"/>
  <c r="H178" i="9"/>
  <c r="H69" i="9"/>
  <c r="F123" i="9"/>
  <c r="M29" i="9" s="1"/>
  <c r="I19" i="9"/>
  <c r="I125" i="9" s="1"/>
  <c r="F130" i="9"/>
  <c r="C25" i="9"/>
  <c r="AJ8" i="9"/>
  <c r="AI5" i="9"/>
  <c r="AI6" i="9" s="1"/>
  <c r="AI7" i="9" s="1"/>
  <c r="AI8" i="9" s="1"/>
  <c r="AI9" i="9" s="1"/>
  <c r="AI10" i="9" s="1"/>
  <c r="AI11" i="9" s="1"/>
  <c r="AI12" i="9" s="1"/>
  <c r="AI13" i="9" s="1"/>
  <c r="AI14" i="9" s="1"/>
  <c r="AI15" i="9" s="1"/>
  <c r="AI16" i="9" s="1"/>
  <c r="AI17" i="9" s="1"/>
  <c r="AI18" i="9" s="1"/>
  <c r="AI19" i="9" s="1"/>
  <c r="AI20" i="9" s="1"/>
  <c r="AI21" i="9" s="1"/>
  <c r="AI22" i="9" s="1"/>
  <c r="AI23" i="9" s="1"/>
  <c r="AI24" i="9" s="1"/>
  <c r="AI25" i="9" s="1"/>
  <c r="AI26" i="9" s="1"/>
  <c r="AI27" i="9" s="1"/>
  <c r="AO4" i="9"/>
  <c r="C92" i="9"/>
  <c r="E93" i="9"/>
  <c r="C199" i="9"/>
  <c r="D16" i="9"/>
  <c r="D122" i="9" s="1"/>
  <c r="C114" i="9"/>
  <c r="K31" i="9"/>
  <c r="K137" i="9" s="1"/>
  <c r="C11" i="9"/>
  <c r="E12" i="9"/>
  <c r="S62" i="9"/>
  <c r="M5" i="9"/>
  <c r="U62" i="9" s="1"/>
  <c r="R45" i="9"/>
  <c r="AF16" i="9"/>
  <c r="R17" i="9"/>
  <c r="AG7" i="9"/>
  <c r="X62" i="9"/>
  <c r="P6" i="9"/>
  <c r="R43" i="9"/>
  <c r="R13" i="9"/>
  <c r="AF14" i="9"/>
  <c r="J4" i="1"/>
  <c r="R61" i="1" s="1"/>
  <c r="C131" i="1"/>
  <c r="D25" i="1"/>
  <c r="D131" i="1" s="1"/>
  <c r="D24" i="1"/>
  <c r="D130" i="1" s="1"/>
  <c r="C130" i="1"/>
  <c r="AI5" i="1"/>
  <c r="AI6" i="1" s="1"/>
  <c r="AI7" i="1" s="1"/>
  <c r="AI8" i="1" s="1"/>
  <c r="AI9" i="1" s="1"/>
  <c r="AI10" i="1" s="1"/>
  <c r="AI11" i="1" s="1"/>
  <c r="AI12" i="1" s="1"/>
  <c r="AI13" i="1" s="1"/>
  <c r="AI14" i="1" s="1"/>
  <c r="AI15" i="1" s="1"/>
  <c r="AI16" i="1" s="1"/>
  <c r="AI17" i="1" s="1"/>
  <c r="AI18" i="1" s="1"/>
  <c r="AI19" i="1" s="1"/>
  <c r="AI20" i="1" s="1"/>
  <c r="AI21" i="1" s="1"/>
  <c r="AI22" i="1" s="1"/>
  <c r="AI23" i="1" s="1"/>
  <c r="AI24" i="1" s="1"/>
  <c r="AI25" i="1" s="1"/>
  <c r="AI26" i="1" s="1"/>
  <c r="AI27" i="1" s="1"/>
  <c r="F50" i="1"/>
  <c r="F157" i="1" s="1"/>
  <c r="C92" i="1"/>
  <c r="E92" i="1" s="1"/>
  <c r="E200" i="1" s="1"/>
  <c r="L4" i="1"/>
  <c r="T61" i="1" s="1"/>
  <c r="Z6" i="7"/>
  <c r="AA5" i="7"/>
  <c r="Y5" i="7" s="1"/>
  <c r="E93" i="1"/>
  <c r="E201" i="1" s="1"/>
  <c r="F123" i="1"/>
  <c r="M29" i="1" s="1"/>
  <c r="D16" i="1"/>
  <c r="D122" i="1" s="1"/>
  <c r="P7" i="1"/>
  <c r="X63" i="1"/>
  <c r="R13" i="1"/>
  <c r="AF14" i="1"/>
  <c r="R43" i="1"/>
  <c r="R45" i="1"/>
  <c r="AF16" i="1"/>
  <c r="R17" i="1"/>
  <c r="AO9" i="1"/>
  <c r="AN6" i="1"/>
  <c r="K31" i="1"/>
  <c r="K137" i="1" s="1"/>
  <c r="E114" i="1"/>
  <c r="AJ7" i="1"/>
  <c r="I26" i="1"/>
  <c r="I132" i="1" s="1"/>
  <c r="C133" i="1"/>
  <c r="AG6" i="1"/>
  <c r="AM8" i="1"/>
  <c r="R42" i="8" l="1"/>
  <c r="R12" i="8"/>
  <c r="AF13" i="8"/>
  <c r="R46" i="8"/>
  <c r="AF17" i="8"/>
  <c r="R18" i="8"/>
  <c r="D180" i="8"/>
  <c r="C73" i="8"/>
  <c r="C181" i="8" s="1"/>
  <c r="F27" i="8"/>
  <c r="F133" i="8" s="1"/>
  <c r="I26" i="8"/>
  <c r="I132" i="8" s="1"/>
  <c r="C133" i="8"/>
  <c r="C162" i="8"/>
  <c r="E56" i="8"/>
  <c r="D56" i="8"/>
  <c r="E114" i="8"/>
  <c r="J31" i="8"/>
  <c r="J137" i="8" s="1"/>
  <c r="N4" i="8"/>
  <c r="V61" i="8" s="1"/>
  <c r="R61" i="8"/>
  <c r="K4" i="8"/>
  <c r="D130" i="8"/>
  <c r="D26" i="8"/>
  <c r="D132" i="8" s="1"/>
  <c r="F73" i="8"/>
  <c r="F180" i="8"/>
  <c r="H72" i="8"/>
  <c r="X63" i="8"/>
  <c r="P7" i="8"/>
  <c r="K30" i="8"/>
  <c r="K136" i="8" s="1"/>
  <c r="M25" i="8"/>
  <c r="I12" i="8"/>
  <c r="I114" i="8" s="1"/>
  <c r="G11" i="8"/>
  <c r="I8" i="8"/>
  <c r="I110" i="8" s="1"/>
  <c r="C113" i="8"/>
  <c r="E11" i="8"/>
  <c r="N1" i="8"/>
  <c r="O15" i="8" s="1"/>
  <c r="H62" i="8"/>
  <c r="H170" i="8"/>
  <c r="AO6" i="8"/>
  <c r="E201" i="8"/>
  <c r="AJ7" i="8"/>
  <c r="G163" i="8"/>
  <c r="G57" i="8"/>
  <c r="G164" i="8" s="1"/>
  <c r="AN8" i="8"/>
  <c r="C200" i="8"/>
  <c r="G92" i="8"/>
  <c r="G200" i="8" s="1"/>
  <c r="D15" i="8"/>
  <c r="E92" i="8"/>
  <c r="E200" i="8" s="1"/>
  <c r="AG6" i="8"/>
  <c r="K4" i="1"/>
  <c r="M4" i="1" s="1"/>
  <c r="U61" i="1" s="1"/>
  <c r="E114" i="9"/>
  <c r="J31" i="9"/>
  <c r="J137" i="9" s="1"/>
  <c r="AO5" i="9"/>
  <c r="H175" i="9"/>
  <c r="H70" i="9"/>
  <c r="H176" i="9" s="1"/>
  <c r="C198" i="9"/>
  <c r="G92" i="9"/>
  <c r="G198" i="9" s="1"/>
  <c r="E92" i="9"/>
  <c r="E198" i="9" s="1"/>
  <c r="D15" i="9"/>
  <c r="C55" i="9"/>
  <c r="G56" i="9"/>
  <c r="H54" i="9"/>
  <c r="H160" i="9" s="1"/>
  <c r="H159" i="9"/>
  <c r="X63" i="9"/>
  <c r="P7" i="9"/>
  <c r="R46" i="9"/>
  <c r="AF17" i="9"/>
  <c r="R18" i="9"/>
  <c r="AJ9" i="9"/>
  <c r="M25" i="9"/>
  <c r="C113" i="9"/>
  <c r="K30" i="9"/>
  <c r="K136" i="9" s="1"/>
  <c r="I8" i="9"/>
  <c r="I110" i="9" s="1"/>
  <c r="I12" i="9"/>
  <c r="I114" i="9" s="1"/>
  <c r="G11" i="9"/>
  <c r="E11" i="9"/>
  <c r="N1" i="9"/>
  <c r="C131" i="9"/>
  <c r="D25" i="9"/>
  <c r="D131" i="9" s="1"/>
  <c r="C24" i="9"/>
  <c r="L4" i="9"/>
  <c r="T61" i="9" s="1"/>
  <c r="AG8" i="9"/>
  <c r="R42" i="9"/>
  <c r="R12" i="9"/>
  <c r="AF13" i="9"/>
  <c r="AN9" i="9"/>
  <c r="E199" i="9"/>
  <c r="D26" i="1"/>
  <c r="D132" i="1" s="1"/>
  <c r="N4" i="1"/>
  <c r="V61" i="1" s="1"/>
  <c r="C200" i="1"/>
  <c r="G92" i="1"/>
  <c r="G200" i="1" s="1"/>
  <c r="D15" i="1"/>
  <c r="D121" i="1" s="1"/>
  <c r="E94" i="1"/>
  <c r="E202" i="1" s="1"/>
  <c r="M25" i="1"/>
  <c r="G11" i="1"/>
  <c r="I11" i="1" s="1"/>
  <c r="I113" i="1" s="1"/>
  <c r="AA6" i="7"/>
  <c r="Y6" i="7" s="1"/>
  <c r="Z7" i="7"/>
  <c r="X6" i="7"/>
  <c r="P8" i="1"/>
  <c r="X64" i="1"/>
  <c r="R46" i="1"/>
  <c r="R18" i="1"/>
  <c r="AF17" i="1"/>
  <c r="AF13" i="1"/>
  <c r="R42" i="1"/>
  <c r="R12" i="1"/>
  <c r="K30" i="1"/>
  <c r="K136" i="1" s="1"/>
  <c r="AN7" i="1"/>
  <c r="AO10" i="1"/>
  <c r="C113" i="1"/>
  <c r="N1" i="1"/>
  <c r="O15" i="1" s="1"/>
  <c r="I8" i="1"/>
  <c r="I110" i="1" s="1"/>
  <c r="I12" i="1"/>
  <c r="I114" i="1" s="1"/>
  <c r="J31" i="1"/>
  <c r="J137" i="1" s="1"/>
  <c r="AJ8" i="1"/>
  <c r="AG7" i="1"/>
  <c r="AM9" i="1"/>
  <c r="AG7" i="8" l="1"/>
  <c r="R41" i="8"/>
  <c r="AF12" i="8"/>
  <c r="R11" i="8"/>
  <c r="E113" i="8"/>
  <c r="J30" i="8"/>
  <c r="J136" i="8" s="1"/>
  <c r="H69" i="8"/>
  <c r="H180" i="8"/>
  <c r="S61" i="8"/>
  <c r="M4" i="8"/>
  <c r="U61" i="8" s="1"/>
  <c r="J15" i="8"/>
  <c r="W72" i="8"/>
  <c r="X64" i="8"/>
  <c r="P8" i="8"/>
  <c r="F181" i="8"/>
  <c r="H73" i="8"/>
  <c r="H181" i="8" s="1"/>
  <c r="D163" i="8"/>
  <c r="D57" i="8"/>
  <c r="D164" i="8" s="1"/>
  <c r="AN9" i="8"/>
  <c r="E163" i="8"/>
  <c r="E57" i="8"/>
  <c r="E164" i="8" s="1"/>
  <c r="D121" i="8"/>
  <c r="M26" i="8"/>
  <c r="M27" i="8" s="1"/>
  <c r="D18" i="8" s="1"/>
  <c r="D124" i="8" s="1"/>
  <c r="AJ8" i="8"/>
  <c r="E94" i="8"/>
  <c r="E202" i="8" s="1"/>
  <c r="G113" i="8"/>
  <c r="M28" i="8"/>
  <c r="D17" i="8" s="1"/>
  <c r="D123" i="8" s="1"/>
  <c r="I27" i="8"/>
  <c r="I133" i="8" s="1"/>
  <c r="F19" i="8"/>
  <c r="I11" i="8"/>
  <c r="I113" i="8" s="1"/>
  <c r="R19" i="8"/>
  <c r="AF18" i="8"/>
  <c r="AO7" i="8"/>
  <c r="S61" i="1"/>
  <c r="AN10" i="9"/>
  <c r="C130" i="9"/>
  <c r="C27" i="9"/>
  <c r="D24" i="9"/>
  <c r="J4" i="9"/>
  <c r="V58" i="9"/>
  <c r="O15" i="9"/>
  <c r="AJ10" i="9"/>
  <c r="E113" i="9"/>
  <c r="J30" i="9"/>
  <c r="J136" i="9" s="1"/>
  <c r="G162" i="9"/>
  <c r="G57" i="9"/>
  <c r="G163" i="9" s="1"/>
  <c r="AO6" i="9"/>
  <c r="X64" i="9"/>
  <c r="P8" i="9"/>
  <c r="R41" i="9"/>
  <c r="AF12" i="9"/>
  <c r="R11" i="9"/>
  <c r="AG9" i="9"/>
  <c r="I27" i="9"/>
  <c r="I133" i="9" s="1"/>
  <c r="M28" i="9"/>
  <c r="D17" i="9" s="1"/>
  <c r="D123" i="9" s="1"/>
  <c r="G113" i="9"/>
  <c r="F19" i="9"/>
  <c r="I11" i="9"/>
  <c r="I113" i="9" s="1"/>
  <c r="R47" i="9"/>
  <c r="R19" i="9"/>
  <c r="AF18" i="9"/>
  <c r="C161" i="9"/>
  <c r="E56" i="9"/>
  <c r="E162" i="9" s="1"/>
  <c r="D56" i="9"/>
  <c r="D162" i="9" s="1"/>
  <c r="E94" i="9"/>
  <c r="E200" i="9" s="1"/>
  <c r="M26" i="9"/>
  <c r="M27" i="9" s="1"/>
  <c r="D18" i="9" s="1"/>
  <c r="D124" i="9" s="1"/>
  <c r="D121" i="9"/>
  <c r="M26" i="1"/>
  <c r="M27" i="1" s="1"/>
  <c r="D18" i="1" s="1"/>
  <c r="D124" i="1" s="1"/>
  <c r="J30" i="1"/>
  <c r="J136" i="1" s="1"/>
  <c r="AA7" i="7"/>
  <c r="Y7" i="7" s="1"/>
  <c r="Z8" i="7"/>
  <c r="X7" i="7"/>
  <c r="P9" i="1"/>
  <c r="X65" i="1"/>
  <c r="G113" i="1"/>
  <c r="R41" i="1"/>
  <c r="AF12" i="1"/>
  <c r="R11" i="1"/>
  <c r="R19" i="1"/>
  <c r="AF18" i="1"/>
  <c r="E113" i="1"/>
  <c r="AO11" i="1"/>
  <c r="AN8" i="1"/>
  <c r="F27" i="1"/>
  <c r="F133" i="1" s="1"/>
  <c r="I27" i="1"/>
  <c r="I133" i="1" s="1"/>
  <c r="M28" i="1"/>
  <c r="D17" i="1" s="1"/>
  <c r="D123" i="1" s="1"/>
  <c r="F19" i="1"/>
  <c r="G19" i="1" s="1"/>
  <c r="G125" i="1" s="1"/>
  <c r="AJ9" i="1"/>
  <c r="AG8" i="1"/>
  <c r="J15" i="1"/>
  <c r="W72" i="1"/>
  <c r="AM10" i="1"/>
  <c r="H177" i="8" l="1"/>
  <c r="H70" i="8"/>
  <c r="H178" i="8" s="1"/>
  <c r="F125" i="8"/>
  <c r="G19" i="8"/>
  <c r="G125" i="8" s="1"/>
  <c r="R40" i="8"/>
  <c r="R10" i="8"/>
  <c r="AF11" i="8"/>
  <c r="AG8" i="8"/>
  <c r="X65" i="8"/>
  <c r="P9" i="8"/>
  <c r="AO8" i="8"/>
  <c r="AN10" i="8"/>
  <c r="R20" i="8"/>
  <c r="AF19" i="8"/>
  <c r="AJ9" i="8"/>
  <c r="R72" i="8"/>
  <c r="K15" i="8"/>
  <c r="R48" i="9"/>
  <c r="AF19" i="9"/>
  <c r="R20" i="9"/>
  <c r="AG10" i="9"/>
  <c r="R61" i="9"/>
  <c r="N4" i="9"/>
  <c r="V61" i="9" s="1"/>
  <c r="K4" i="9"/>
  <c r="R40" i="9"/>
  <c r="R10" i="9"/>
  <c r="AF11" i="9"/>
  <c r="D130" i="9"/>
  <c r="D26" i="9"/>
  <c r="D132" i="9" s="1"/>
  <c r="C133" i="9"/>
  <c r="F27" i="9"/>
  <c r="F133" i="9" s="1"/>
  <c r="I26" i="9"/>
  <c r="I132" i="9" s="1"/>
  <c r="F125" i="9"/>
  <c r="G19" i="9"/>
  <c r="G125" i="9" s="1"/>
  <c r="AO7" i="9"/>
  <c r="X65" i="9"/>
  <c r="P9" i="9"/>
  <c r="AJ11" i="9"/>
  <c r="J15" i="9"/>
  <c r="W72" i="9"/>
  <c r="AN11" i="9"/>
  <c r="AA8" i="7"/>
  <c r="Y8" i="7" s="1"/>
  <c r="Z9" i="7"/>
  <c r="X8" i="7"/>
  <c r="P10" i="1"/>
  <c r="X66" i="1"/>
  <c r="AF11" i="1"/>
  <c r="AB11" i="1" s="1"/>
  <c r="R40" i="1"/>
  <c r="R10" i="1"/>
  <c r="AF19" i="1"/>
  <c r="R20" i="1"/>
  <c r="AN9" i="1"/>
  <c r="AO12" i="1"/>
  <c r="F125" i="1"/>
  <c r="AG9" i="1"/>
  <c r="AJ10" i="1"/>
  <c r="K15" i="1"/>
  <c r="R72" i="1"/>
  <c r="AM11" i="1"/>
  <c r="AG9" i="8" l="1"/>
  <c r="AF20" i="8"/>
  <c r="R21" i="8"/>
  <c r="AN11" i="8"/>
  <c r="R39" i="8"/>
  <c r="R9" i="8"/>
  <c r="AF10" i="8"/>
  <c r="X10" i="8" s="1"/>
  <c r="AO9" i="8"/>
  <c r="S72" i="8"/>
  <c r="M15" i="8"/>
  <c r="U72" i="8" s="1"/>
  <c r="AJ10" i="8"/>
  <c r="P10" i="8"/>
  <c r="X66" i="8"/>
  <c r="S61" i="9"/>
  <c r="M4" i="9"/>
  <c r="U61" i="9" s="1"/>
  <c r="R72" i="9"/>
  <c r="K15" i="9"/>
  <c r="AG11" i="9"/>
  <c r="T11" i="9"/>
  <c r="AJ12" i="9"/>
  <c r="X66" i="9"/>
  <c r="P10" i="9"/>
  <c r="AO8" i="9"/>
  <c r="R49" i="9"/>
  <c r="R21" i="9"/>
  <c r="AF20" i="9"/>
  <c r="AN12" i="9"/>
  <c r="X11" i="9"/>
  <c r="R39" i="9"/>
  <c r="AF10" i="9"/>
  <c r="R9" i="9"/>
  <c r="AA9" i="7"/>
  <c r="Y9" i="7" s="1"/>
  <c r="Z10" i="7"/>
  <c r="X9" i="7"/>
  <c r="P11" i="1"/>
  <c r="X67" i="1"/>
  <c r="R21" i="1"/>
  <c r="AF20" i="1"/>
  <c r="R9" i="1"/>
  <c r="AF10" i="1"/>
  <c r="AB10" i="1" s="1"/>
  <c r="R39" i="1"/>
  <c r="AB12" i="1"/>
  <c r="AO13" i="1"/>
  <c r="AN10" i="1"/>
  <c r="AB40" i="1"/>
  <c r="AC11" i="1"/>
  <c r="AC40" i="1" s="1"/>
  <c r="AJ11" i="1"/>
  <c r="AG10" i="1"/>
  <c r="S72" i="1"/>
  <c r="M15" i="1"/>
  <c r="U72" i="1" s="1"/>
  <c r="AM12" i="1"/>
  <c r="X39" i="8" l="1"/>
  <c r="Y10" i="8"/>
  <c r="Y39" i="8" s="1"/>
  <c r="AO10" i="8"/>
  <c r="R38" i="8"/>
  <c r="AF9" i="8"/>
  <c r="R8" i="8"/>
  <c r="L15" i="8"/>
  <c r="AG10" i="8"/>
  <c r="AJ11" i="8"/>
  <c r="T10" i="8"/>
  <c r="X11" i="8"/>
  <c r="AN12" i="8"/>
  <c r="X67" i="8"/>
  <c r="P11" i="8"/>
  <c r="R22" i="8"/>
  <c r="AF21" i="8"/>
  <c r="AJ13" i="9"/>
  <c r="T12" i="9"/>
  <c r="T40" i="9"/>
  <c r="R50" i="9"/>
  <c r="R22" i="9"/>
  <c r="AF21" i="9"/>
  <c r="U11" i="9"/>
  <c r="U40" i="9" s="1"/>
  <c r="AG12" i="9"/>
  <c r="S72" i="9"/>
  <c r="M15" i="9"/>
  <c r="U72" i="9" s="1"/>
  <c r="L15" i="9"/>
  <c r="T72" i="9" s="1"/>
  <c r="R38" i="9"/>
  <c r="R8" i="9"/>
  <c r="AF9" i="9"/>
  <c r="AO9" i="9"/>
  <c r="X10" i="9"/>
  <c r="T10" i="9"/>
  <c r="AN13" i="9"/>
  <c r="X12" i="9"/>
  <c r="X67" i="9"/>
  <c r="P11" i="9"/>
  <c r="X40" i="9"/>
  <c r="Y11" i="9"/>
  <c r="Y40" i="9" s="1"/>
  <c r="W11" i="9"/>
  <c r="W40" i="9" s="1"/>
  <c r="AA11" i="1"/>
  <c r="AA40" i="1" s="1"/>
  <c r="T10" i="1"/>
  <c r="U10" i="1" s="1"/>
  <c r="U39" i="1" s="1"/>
  <c r="Z11" i="7"/>
  <c r="AA10" i="7"/>
  <c r="Y10" i="7" s="1"/>
  <c r="X10" i="7"/>
  <c r="P12" i="1"/>
  <c r="X68" i="1"/>
  <c r="AC10" i="1"/>
  <c r="AC39" i="1" s="1"/>
  <c r="AB39" i="1"/>
  <c r="R8" i="1"/>
  <c r="R38" i="1"/>
  <c r="AF9" i="1"/>
  <c r="AF21" i="1"/>
  <c r="R22" i="1"/>
  <c r="AN11" i="1"/>
  <c r="X10" i="1"/>
  <c r="AB13" i="1"/>
  <c r="AO14" i="1"/>
  <c r="AB41" i="1"/>
  <c r="AC12" i="1"/>
  <c r="AC41" i="1" s="1"/>
  <c r="AG11" i="1"/>
  <c r="T11" i="1" s="1"/>
  <c r="AJ12" i="1"/>
  <c r="L15" i="1"/>
  <c r="AM13" i="1"/>
  <c r="R37" i="8" l="1"/>
  <c r="AF8" i="8"/>
  <c r="R7" i="8"/>
  <c r="AN13" i="8"/>
  <c r="X12" i="8"/>
  <c r="X9" i="8"/>
  <c r="T9" i="8"/>
  <c r="AB10" i="8"/>
  <c r="AO11" i="8"/>
  <c r="T72" i="8"/>
  <c r="N15" i="8"/>
  <c r="V72" i="8" s="1"/>
  <c r="T39" i="8"/>
  <c r="AJ12" i="8"/>
  <c r="AB9" i="8"/>
  <c r="AF22" i="8"/>
  <c r="R23" i="8"/>
  <c r="X68" i="8"/>
  <c r="P12" i="8"/>
  <c r="X40" i="8"/>
  <c r="W11" i="8"/>
  <c r="W40" i="8" s="1"/>
  <c r="Y11" i="8"/>
  <c r="Y40" i="8" s="1"/>
  <c r="AG11" i="8"/>
  <c r="U10" i="8"/>
  <c r="U39" i="8" s="1"/>
  <c r="W10" i="8"/>
  <c r="W39" i="8" s="1"/>
  <c r="X9" i="9"/>
  <c r="T9" i="9"/>
  <c r="R7" i="9"/>
  <c r="AF8" i="9"/>
  <c r="R37" i="9"/>
  <c r="Y12" i="9"/>
  <c r="Y41" i="9" s="1"/>
  <c r="W12" i="9"/>
  <c r="W41" i="9" s="1"/>
  <c r="X41" i="9"/>
  <c r="R51" i="9"/>
  <c r="AF22" i="9"/>
  <c r="R23" i="9"/>
  <c r="X13" i="9"/>
  <c r="AN14" i="9"/>
  <c r="N15" i="9"/>
  <c r="V72" i="9" s="1"/>
  <c r="T39" i="9"/>
  <c r="S10" i="9"/>
  <c r="S39" i="9" s="1"/>
  <c r="U10" i="9"/>
  <c r="U39" i="9" s="1"/>
  <c r="S11" i="9"/>
  <c r="S40" i="9" s="1"/>
  <c r="X68" i="9"/>
  <c r="P12" i="9"/>
  <c r="X39" i="9"/>
  <c r="Y10" i="9"/>
  <c r="Y39" i="9" s="1"/>
  <c r="W10" i="9"/>
  <c r="W39" i="9" s="1"/>
  <c r="T41" i="9"/>
  <c r="AB9" i="9"/>
  <c r="AO10" i="9"/>
  <c r="U12" i="9"/>
  <c r="U41" i="9" s="1"/>
  <c r="AG13" i="9"/>
  <c r="AJ14" i="9"/>
  <c r="T13" i="9"/>
  <c r="T39" i="1"/>
  <c r="AA10" i="1"/>
  <c r="AA39" i="1" s="1"/>
  <c r="AA12" i="1"/>
  <c r="AA41" i="1" s="1"/>
  <c r="Z12" i="7"/>
  <c r="AA11" i="7"/>
  <c r="Y11" i="7" s="1"/>
  <c r="X11" i="7"/>
  <c r="X69" i="1"/>
  <c r="P13" i="1"/>
  <c r="AB9" i="1"/>
  <c r="X9" i="1"/>
  <c r="T9" i="1"/>
  <c r="R37" i="1"/>
  <c r="R7" i="1"/>
  <c r="AF8" i="1"/>
  <c r="R23" i="1"/>
  <c r="AF22" i="1"/>
  <c r="AO15" i="1"/>
  <c r="AB14" i="1"/>
  <c r="AB42" i="1"/>
  <c r="AC13" i="1"/>
  <c r="AC42" i="1" s="1"/>
  <c r="Y10" i="1"/>
  <c r="Y39" i="1" s="1"/>
  <c r="X39" i="1"/>
  <c r="AN12" i="1"/>
  <c r="X11" i="1"/>
  <c r="S10" i="1"/>
  <c r="S39" i="1" s="1"/>
  <c r="T40" i="1"/>
  <c r="AJ13" i="1"/>
  <c r="AG12" i="1"/>
  <c r="U11" i="1"/>
  <c r="U40" i="1" s="1"/>
  <c r="T72" i="1"/>
  <c r="N15" i="1"/>
  <c r="V72" i="1" s="1"/>
  <c r="AM14" i="1"/>
  <c r="AB39" i="8" l="1"/>
  <c r="AA10" i="8"/>
  <c r="AA39" i="8" s="1"/>
  <c r="AC10" i="8"/>
  <c r="AC39" i="8" s="1"/>
  <c r="AJ13" i="8"/>
  <c r="T38" i="8"/>
  <c r="U9" i="8"/>
  <c r="U38" i="8" s="1"/>
  <c r="AO12" i="8"/>
  <c r="AB11" i="8"/>
  <c r="X41" i="8"/>
  <c r="Y12" i="8"/>
  <c r="Y41" i="8" s="1"/>
  <c r="W12" i="8"/>
  <c r="W41" i="8" s="1"/>
  <c r="AB38" i="8"/>
  <c r="AC9" i="8"/>
  <c r="AC38" i="8" s="1"/>
  <c r="AA9" i="8"/>
  <c r="AA38" i="8" s="1"/>
  <c r="X38" i="8"/>
  <c r="Y9" i="8"/>
  <c r="Y38" i="8" s="1"/>
  <c r="X69" i="8"/>
  <c r="P13" i="8"/>
  <c r="S10" i="8"/>
  <c r="S39" i="8" s="1"/>
  <c r="AN14" i="8"/>
  <c r="X13" i="8"/>
  <c r="AG12" i="8"/>
  <c r="T12" i="8" s="1"/>
  <c r="R36" i="8"/>
  <c r="AF7" i="8"/>
  <c r="R6" i="8"/>
  <c r="T11" i="8"/>
  <c r="AF23" i="8"/>
  <c r="R24" i="8"/>
  <c r="X8" i="8"/>
  <c r="T8" i="8"/>
  <c r="AB8" i="8"/>
  <c r="AJ15" i="9"/>
  <c r="U13" i="9"/>
  <c r="U42" i="9" s="1"/>
  <c r="AG14" i="9"/>
  <c r="X14" i="9"/>
  <c r="AN15" i="9"/>
  <c r="T8" i="9"/>
  <c r="X8" i="9"/>
  <c r="AB8" i="9"/>
  <c r="S13" i="9"/>
  <c r="S42" i="9" s="1"/>
  <c r="T42" i="9"/>
  <c r="X69" i="9"/>
  <c r="P13" i="9"/>
  <c r="X42" i="9"/>
  <c r="Y13" i="9"/>
  <c r="Y42" i="9" s="1"/>
  <c r="AB10" i="9"/>
  <c r="AO11" i="9"/>
  <c r="R52" i="9"/>
  <c r="R24" i="9"/>
  <c r="AF23" i="9"/>
  <c r="R36" i="9"/>
  <c r="AF7" i="9"/>
  <c r="R6" i="9"/>
  <c r="AB38" i="9"/>
  <c r="AC9" i="9"/>
  <c r="AC38" i="9" s="1"/>
  <c r="T38" i="9"/>
  <c r="U9" i="9"/>
  <c r="U38" i="9" s="1"/>
  <c r="S12" i="9"/>
  <c r="S41" i="9" s="1"/>
  <c r="X38" i="9"/>
  <c r="Y9" i="9"/>
  <c r="Y38" i="9" s="1"/>
  <c r="W9" i="9"/>
  <c r="W38" i="9" s="1"/>
  <c r="X12" i="7"/>
  <c r="AA12" i="7"/>
  <c r="Y12" i="7" s="1"/>
  <c r="Z13" i="7"/>
  <c r="X70" i="1"/>
  <c r="P14" i="1"/>
  <c r="AA13" i="1"/>
  <c r="AA42" i="1" s="1"/>
  <c r="W10" i="1"/>
  <c r="W39" i="1" s="1"/>
  <c r="AF23" i="1"/>
  <c r="R24" i="1"/>
  <c r="AB8" i="1"/>
  <c r="T8" i="1"/>
  <c r="X8" i="1"/>
  <c r="R6" i="1"/>
  <c r="AF7" i="1"/>
  <c r="R36" i="1"/>
  <c r="T38" i="1"/>
  <c r="U9" i="1"/>
  <c r="U38" i="1" s="1"/>
  <c r="X38" i="1"/>
  <c r="Y9" i="1"/>
  <c r="Y38" i="1" s="1"/>
  <c r="AC9" i="1"/>
  <c r="AC38" i="1" s="1"/>
  <c r="AB38" i="1"/>
  <c r="AN13" i="1"/>
  <c r="X12" i="1"/>
  <c r="AB43" i="1"/>
  <c r="AC14" i="1"/>
  <c r="AC43" i="1" s="1"/>
  <c r="Y11" i="1"/>
  <c r="Y40" i="1" s="1"/>
  <c r="X40" i="1"/>
  <c r="AO16" i="1"/>
  <c r="AB15" i="1"/>
  <c r="AJ14" i="1"/>
  <c r="AG13" i="1"/>
  <c r="T12" i="1"/>
  <c r="U12" i="1" s="1"/>
  <c r="U41" i="1" s="1"/>
  <c r="S11" i="1"/>
  <c r="S40" i="1" s="1"/>
  <c r="AM15" i="1"/>
  <c r="T41" i="8" l="1"/>
  <c r="AF24" i="8"/>
  <c r="R25" i="8"/>
  <c r="X70" i="8"/>
  <c r="P14" i="8"/>
  <c r="AJ14" i="8"/>
  <c r="X14" i="8"/>
  <c r="AN15" i="8"/>
  <c r="T40" i="8"/>
  <c r="R35" i="8"/>
  <c r="AF6" i="8"/>
  <c r="R5" i="8"/>
  <c r="X7" i="8"/>
  <c r="T7" i="8"/>
  <c r="AB7" i="8"/>
  <c r="AB37" i="8"/>
  <c r="AA8" i="8"/>
  <c r="AA37" i="8" s="1"/>
  <c r="AC8" i="8"/>
  <c r="AC37" i="8" s="1"/>
  <c r="W9" i="8"/>
  <c r="W38" i="8" s="1"/>
  <c r="X42" i="8"/>
  <c r="W13" i="8"/>
  <c r="W42" i="8" s="1"/>
  <c r="Y13" i="8"/>
  <c r="Y42" i="8" s="1"/>
  <c r="S9" i="8"/>
  <c r="S38" i="8" s="1"/>
  <c r="T37" i="8"/>
  <c r="U8" i="8"/>
  <c r="U37" i="8" s="1"/>
  <c r="AG13" i="8"/>
  <c r="T13" i="8" s="1"/>
  <c r="U12" i="8"/>
  <c r="U41" i="8" s="1"/>
  <c r="AA11" i="8"/>
  <c r="AA40" i="8" s="1"/>
  <c r="AB40" i="8"/>
  <c r="AC11" i="8"/>
  <c r="AC40" i="8" s="1"/>
  <c r="X37" i="8"/>
  <c r="Y8" i="8"/>
  <c r="Y37" i="8" s="1"/>
  <c r="U11" i="8"/>
  <c r="U40" i="8" s="1"/>
  <c r="AO13" i="8"/>
  <c r="AB12" i="8"/>
  <c r="R35" i="9"/>
  <c r="AF6" i="9"/>
  <c r="R5" i="9"/>
  <c r="X37" i="9"/>
  <c r="Y8" i="9"/>
  <c r="Y37" i="9" s="1"/>
  <c r="W8" i="9"/>
  <c r="W37" i="9" s="1"/>
  <c r="X7" i="9"/>
  <c r="T7" i="9"/>
  <c r="AB7" i="9"/>
  <c r="W13" i="9"/>
  <c r="W42" i="9" s="1"/>
  <c r="T37" i="9"/>
  <c r="S8" i="9"/>
  <c r="S37" i="9" s="1"/>
  <c r="U8" i="9"/>
  <c r="U37" i="9" s="1"/>
  <c r="AN16" i="9"/>
  <c r="X15" i="9"/>
  <c r="S9" i="9"/>
  <c r="S38" i="9" s="1"/>
  <c r="P14" i="9"/>
  <c r="X70" i="9"/>
  <c r="X43" i="9"/>
  <c r="W14" i="9"/>
  <c r="W43" i="9" s="1"/>
  <c r="Y14" i="9"/>
  <c r="Y43" i="9" s="1"/>
  <c r="R53" i="9"/>
  <c r="AF24" i="9"/>
  <c r="R25" i="9"/>
  <c r="AG15" i="9"/>
  <c r="AA9" i="9"/>
  <c r="AA38" i="9" s="1"/>
  <c r="AB11" i="9"/>
  <c r="AO12" i="9"/>
  <c r="T15" i="9"/>
  <c r="AJ16" i="9"/>
  <c r="AB39" i="9"/>
  <c r="AC10" i="9"/>
  <c r="AC39" i="9" s="1"/>
  <c r="AB37" i="9"/>
  <c r="AC8" i="9"/>
  <c r="AC37" i="9" s="1"/>
  <c r="T14" i="9"/>
  <c r="Z14" i="7"/>
  <c r="AA13" i="7"/>
  <c r="Y13" i="7" s="1"/>
  <c r="X13" i="7"/>
  <c r="AA14" i="1"/>
  <c r="AA43" i="1" s="1"/>
  <c r="X71" i="1"/>
  <c r="P15" i="1"/>
  <c r="Y8" i="1"/>
  <c r="Y37" i="1" s="1"/>
  <c r="X37" i="1"/>
  <c r="T37" i="1"/>
  <c r="U8" i="1"/>
  <c r="U37" i="1" s="1"/>
  <c r="S9" i="1"/>
  <c r="S38" i="1" s="1"/>
  <c r="AB37" i="1"/>
  <c r="AC8" i="1"/>
  <c r="AC37" i="1" s="1"/>
  <c r="AF24" i="1"/>
  <c r="R25" i="1"/>
  <c r="AA9" i="1"/>
  <c r="AA38" i="1" s="1"/>
  <c r="W11" i="1"/>
  <c r="W40" i="1" s="1"/>
  <c r="AB7" i="1"/>
  <c r="T7" i="1"/>
  <c r="X7" i="1"/>
  <c r="AF6" i="1"/>
  <c r="R35" i="1"/>
  <c r="R5" i="1"/>
  <c r="W9" i="1"/>
  <c r="W38" i="1" s="1"/>
  <c r="AB16" i="1"/>
  <c r="AO17" i="1"/>
  <c r="X41" i="1"/>
  <c r="Y12" i="1"/>
  <c r="Y41" i="1" s="1"/>
  <c r="AC15" i="1"/>
  <c r="AC44" i="1" s="1"/>
  <c r="AB44" i="1"/>
  <c r="X13" i="1"/>
  <c r="AN14" i="1"/>
  <c r="AG14" i="1"/>
  <c r="T14" i="1" s="1"/>
  <c r="T13" i="1"/>
  <c r="U13" i="1" s="1"/>
  <c r="U42" i="1" s="1"/>
  <c r="AJ15" i="1"/>
  <c r="T41" i="1"/>
  <c r="S12" i="1"/>
  <c r="S41" i="1" s="1"/>
  <c r="AM16" i="1"/>
  <c r="T42" i="8" l="1"/>
  <c r="X36" i="8"/>
  <c r="Y7" i="8"/>
  <c r="Y36" i="8" s="1"/>
  <c r="W7" i="8"/>
  <c r="W36" i="8" s="1"/>
  <c r="AB13" i="8"/>
  <c r="AO14" i="8"/>
  <c r="R34" i="8"/>
  <c r="AF5" i="8"/>
  <c r="R4" i="8"/>
  <c r="AJ15" i="8"/>
  <c r="X6" i="8"/>
  <c r="T6" i="8"/>
  <c r="AB6" i="8"/>
  <c r="W8" i="8"/>
  <c r="W37" i="8" s="1"/>
  <c r="S11" i="8"/>
  <c r="S40" i="8" s="1"/>
  <c r="R26" i="8"/>
  <c r="AF25" i="8"/>
  <c r="AG14" i="8"/>
  <c r="U13" i="8"/>
  <c r="U42" i="8" s="1"/>
  <c r="X71" i="8"/>
  <c r="P15" i="8"/>
  <c r="S8" i="8"/>
  <c r="S37" i="8" s="1"/>
  <c r="AB36" i="8"/>
  <c r="AA7" i="8"/>
  <c r="AA36" i="8" s="1"/>
  <c r="AC7" i="8"/>
  <c r="AC36" i="8" s="1"/>
  <c r="S12" i="8"/>
  <c r="S41" i="8" s="1"/>
  <c r="AB41" i="8"/>
  <c r="AC12" i="8"/>
  <c r="AC41" i="8" s="1"/>
  <c r="X15" i="8"/>
  <c r="AN16" i="8"/>
  <c r="T36" i="8"/>
  <c r="U7" i="8"/>
  <c r="U36" i="8" s="1"/>
  <c r="X43" i="8"/>
  <c r="Y14" i="8"/>
  <c r="Y43" i="8" s="1"/>
  <c r="T36" i="9"/>
  <c r="U7" i="9"/>
  <c r="U36" i="9" s="1"/>
  <c r="AJ17" i="9"/>
  <c r="X44" i="9"/>
  <c r="W15" i="9"/>
  <c r="W44" i="9" s="1"/>
  <c r="Y15" i="9"/>
  <c r="Y44" i="9" s="1"/>
  <c r="X36" i="9"/>
  <c r="Y7" i="9"/>
  <c r="Y36" i="9" s="1"/>
  <c r="W7" i="9"/>
  <c r="W36" i="9" s="1"/>
  <c r="T44" i="9"/>
  <c r="X16" i="9"/>
  <c r="AN17" i="9"/>
  <c r="T43" i="9"/>
  <c r="AO13" i="9"/>
  <c r="AB12" i="9"/>
  <c r="AB40" i="9"/>
  <c r="AC11" i="9"/>
  <c r="AC40" i="9" s="1"/>
  <c r="AA8" i="9"/>
  <c r="AA37" i="9" s="1"/>
  <c r="R4" i="9"/>
  <c r="AF5" i="9"/>
  <c r="R34" i="9"/>
  <c r="U14" i="9"/>
  <c r="U43" i="9" s="1"/>
  <c r="T6" i="9"/>
  <c r="X6" i="9"/>
  <c r="AB6" i="9"/>
  <c r="R54" i="9"/>
  <c r="AF25" i="9"/>
  <c r="R26" i="9"/>
  <c r="AA10" i="9"/>
  <c r="AA39" i="9" s="1"/>
  <c r="U15" i="9"/>
  <c r="U44" i="9" s="1"/>
  <c r="AG16" i="9"/>
  <c r="X71" i="9"/>
  <c r="P15" i="9"/>
  <c r="AB36" i="9"/>
  <c r="AA7" i="9"/>
  <c r="AA36" i="9" s="1"/>
  <c r="AC7" i="9"/>
  <c r="AC36" i="9" s="1"/>
  <c r="W12" i="1"/>
  <c r="W41" i="1" s="1"/>
  <c r="S8" i="1"/>
  <c r="S37" i="1" s="1"/>
  <c r="Z15" i="7"/>
  <c r="AA14" i="7"/>
  <c r="Y14" i="7" s="1"/>
  <c r="X14" i="7"/>
  <c r="AA8" i="1"/>
  <c r="AA37" i="1" s="1"/>
  <c r="X72" i="1"/>
  <c r="P16" i="1"/>
  <c r="O14" i="1"/>
  <c r="O16" i="1"/>
  <c r="AA15" i="1"/>
  <c r="AA44" i="1" s="1"/>
  <c r="AC7" i="1"/>
  <c r="AC36" i="1" s="1"/>
  <c r="AB36" i="1"/>
  <c r="R34" i="1"/>
  <c r="R4" i="1"/>
  <c r="AF5" i="1"/>
  <c r="R26" i="1"/>
  <c r="AF25" i="1"/>
  <c r="U7" i="1"/>
  <c r="U36" i="1" s="1"/>
  <c r="T36" i="1"/>
  <c r="AB6" i="1"/>
  <c r="T6" i="1"/>
  <c r="X6" i="1"/>
  <c r="W8" i="1"/>
  <c r="W37" i="1" s="1"/>
  <c r="X36" i="1"/>
  <c r="Y7" i="1"/>
  <c r="Y36" i="1" s="1"/>
  <c r="Y13" i="1"/>
  <c r="Y42" i="1" s="1"/>
  <c r="X42" i="1"/>
  <c r="AO18" i="1"/>
  <c r="AB17" i="1"/>
  <c r="AN15" i="1"/>
  <c r="X14" i="1"/>
  <c r="AC16" i="1"/>
  <c r="AC45" i="1" s="1"/>
  <c r="AB45" i="1"/>
  <c r="T43" i="1"/>
  <c r="AJ16" i="1"/>
  <c r="T42" i="1"/>
  <c r="S13" i="1"/>
  <c r="S42" i="1" s="1"/>
  <c r="AG15" i="1"/>
  <c r="U14" i="1"/>
  <c r="U43" i="1" s="1"/>
  <c r="AM17" i="1"/>
  <c r="X44" i="8" l="1"/>
  <c r="Y15" i="8"/>
  <c r="Y44" i="8" s="1"/>
  <c r="W14" i="8"/>
  <c r="W43" i="8" s="1"/>
  <c r="AA12" i="8"/>
  <c r="AA41" i="8" s="1"/>
  <c r="X72" i="8"/>
  <c r="P16" i="8"/>
  <c r="O14" i="8"/>
  <c r="O16" i="8"/>
  <c r="AB35" i="8"/>
  <c r="AC6" i="8"/>
  <c r="AC35" i="8" s="1"/>
  <c r="AA6" i="8"/>
  <c r="AA35" i="8" s="1"/>
  <c r="AB14" i="8"/>
  <c r="AO15" i="8"/>
  <c r="AB42" i="8"/>
  <c r="AC13" i="8"/>
  <c r="AC42" i="8" s="1"/>
  <c r="AG15" i="8"/>
  <c r="T14" i="8"/>
  <c r="T35" i="8"/>
  <c r="S6" i="8"/>
  <c r="S35" i="8" s="1"/>
  <c r="U6" i="8"/>
  <c r="U35" i="8" s="1"/>
  <c r="X35" i="8"/>
  <c r="W6" i="8"/>
  <c r="W35" i="8" s="1"/>
  <c r="Y6" i="8"/>
  <c r="Y35" i="8" s="1"/>
  <c r="S7" i="8"/>
  <c r="S36" i="8" s="1"/>
  <c r="AJ16" i="8"/>
  <c r="T15" i="8"/>
  <c r="AF26" i="8"/>
  <c r="R27" i="8"/>
  <c r="AF27" i="8" s="1"/>
  <c r="R33" i="8"/>
  <c r="AF4" i="8"/>
  <c r="S13" i="8"/>
  <c r="S42" i="8" s="1"/>
  <c r="AN17" i="8"/>
  <c r="X16" i="8"/>
  <c r="X5" i="8"/>
  <c r="T5" i="8"/>
  <c r="AB5" i="8"/>
  <c r="R33" i="9"/>
  <c r="AF4" i="9"/>
  <c r="AN18" i="9"/>
  <c r="X17" i="9"/>
  <c r="X72" i="9"/>
  <c r="P16" i="9"/>
  <c r="O16" i="9"/>
  <c r="O14" i="9"/>
  <c r="AB35" i="9"/>
  <c r="AC6" i="9"/>
  <c r="AC35" i="9" s="1"/>
  <c r="AA6" i="9"/>
  <c r="AA35" i="9" s="1"/>
  <c r="X45" i="9"/>
  <c r="Y16" i="9"/>
  <c r="Y45" i="9" s="1"/>
  <c r="W16" i="9"/>
  <c r="W45" i="9" s="1"/>
  <c r="X35" i="9"/>
  <c r="Y6" i="9"/>
  <c r="Y35" i="9" s="1"/>
  <c r="AA11" i="9"/>
  <c r="AA40" i="9" s="1"/>
  <c r="S15" i="9"/>
  <c r="S44" i="9" s="1"/>
  <c r="AJ18" i="9"/>
  <c r="AG17" i="9"/>
  <c r="U16" i="9"/>
  <c r="U45" i="9" s="1"/>
  <c r="T35" i="9"/>
  <c r="U6" i="9"/>
  <c r="U35" i="9" s="1"/>
  <c r="T16" i="9"/>
  <c r="AB41" i="9"/>
  <c r="AC12" i="9"/>
  <c r="AC41" i="9" s="1"/>
  <c r="AA12" i="9"/>
  <c r="AA41" i="9" s="1"/>
  <c r="AB13" i="9"/>
  <c r="AO14" i="9"/>
  <c r="S7" i="9"/>
  <c r="S36" i="9" s="1"/>
  <c r="AF26" i="9"/>
  <c r="R55" i="9"/>
  <c r="R27" i="9"/>
  <c r="X5" i="9"/>
  <c r="T5" i="9"/>
  <c r="AB5" i="9"/>
  <c r="S14" i="9"/>
  <c r="S43" i="9" s="1"/>
  <c r="Z16" i="7"/>
  <c r="AA15" i="7"/>
  <c r="Y15" i="7" s="1"/>
  <c r="X15" i="7"/>
  <c r="W73" i="1"/>
  <c r="J16" i="1"/>
  <c r="O17" i="1"/>
  <c r="W71" i="1"/>
  <c r="O13" i="1"/>
  <c r="J14" i="1"/>
  <c r="X73" i="1"/>
  <c r="P17" i="1"/>
  <c r="W13" i="1"/>
  <c r="W42" i="1" s="1"/>
  <c r="AA7" i="1"/>
  <c r="AA36" i="1" s="1"/>
  <c r="U6" i="1"/>
  <c r="U35" i="1" s="1"/>
  <c r="T35" i="1"/>
  <c r="AB5" i="1"/>
  <c r="X5" i="1"/>
  <c r="T5" i="1"/>
  <c r="AC6" i="1"/>
  <c r="AC35" i="1" s="1"/>
  <c r="AB35" i="1"/>
  <c r="AF4" i="1"/>
  <c r="R33" i="1"/>
  <c r="R27" i="1"/>
  <c r="AF26" i="1"/>
  <c r="Y6" i="1"/>
  <c r="Y35" i="1" s="1"/>
  <c r="X35" i="1"/>
  <c r="S7" i="1"/>
  <c r="S36" i="1" s="1"/>
  <c r="W7" i="1"/>
  <c r="W36" i="1" s="1"/>
  <c r="Y14" i="1"/>
  <c r="Y43" i="1" s="1"/>
  <c r="X43" i="1"/>
  <c r="X15" i="1"/>
  <c r="AN16" i="1"/>
  <c r="AC17" i="1"/>
  <c r="AC46" i="1" s="1"/>
  <c r="AB46" i="1"/>
  <c r="AA16" i="1"/>
  <c r="AA45" i="1" s="1"/>
  <c r="AO19" i="1"/>
  <c r="AB18" i="1"/>
  <c r="AJ17" i="1"/>
  <c r="AG16" i="1"/>
  <c r="S14" i="1"/>
  <c r="S43" i="1" s="1"/>
  <c r="T15" i="1"/>
  <c r="AM18" i="1"/>
  <c r="W71" i="8" l="1"/>
  <c r="O13" i="8"/>
  <c r="J14" i="8"/>
  <c r="AC5" i="8"/>
  <c r="AC34" i="8" s="1"/>
  <c r="AB34" i="8"/>
  <c r="X73" i="8"/>
  <c r="P17" i="8"/>
  <c r="X34" i="8"/>
  <c r="Y5" i="8"/>
  <c r="Y34" i="8" s="1"/>
  <c r="W5" i="8"/>
  <c r="W34" i="8" s="1"/>
  <c r="S15" i="8"/>
  <c r="S44" i="8" s="1"/>
  <c r="T44" i="8"/>
  <c r="AB43" i="8"/>
  <c r="AC14" i="8"/>
  <c r="AC43" i="8" s="1"/>
  <c r="T34" i="8"/>
  <c r="U5" i="8"/>
  <c r="U34" i="8" s="1"/>
  <c r="AO16" i="8"/>
  <c r="AB15" i="8"/>
  <c r="AJ17" i="8"/>
  <c r="X45" i="8"/>
  <c r="Y16" i="8"/>
  <c r="Y45" i="8" s="1"/>
  <c r="T43" i="8"/>
  <c r="S14" i="8"/>
  <c r="S43" i="8" s="1"/>
  <c r="AN18" i="8"/>
  <c r="X17" i="8"/>
  <c r="U14" i="8"/>
  <c r="U43" i="8" s="1"/>
  <c r="W15" i="8"/>
  <c r="W44" i="8" s="1"/>
  <c r="AG16" i="8"/>
  <c r="T16" i="8" s="1"/>
  <c r="U15" i="8"/>
  <c r="U44" i="8" s="1"/>
  <c r="X4" i="8"/>
  <c r="T4" i="8"/>
  <c r="AB4" i="8"/>
  <c r="AA13" i="8"/>
  <c r="AA42" i="8" s="1"/>
  <c r="W73" i="8"/>
  <c r="J16" i="8"/>
  <c r="O17" i="8"/>
  <c r="W71" i="9"/>
  <c r="J14" i="9"/>
  <c r="O13" i="9"/>
  <c r="AB34" i="9"/>
  <c r="AC5" i="9"/>
  <c r="AC34" i="9" s="1"/>
  <c r="AB42" i="9"/>
  <c r="AA13" i="9"/>
  <c r="AA42" i="9" s="1"/>
  <c r="AC13" i="9"/>
  <c r="AC42" i="9" s="1"/>
  <c r="W73" i="9"/>
  <c r="O17" i="9"/>
  <c r="J16" i="9"/>
  <c r="AG18" i="9"/>
  <c r="U17" i="9"/>
  <c r="U46" i="9" s="1"/>
  <c r="X73" i="9"/>
  <c r="P17" i="9"/>
  <c r="AO15" i="9"/>
  <c r="AB14" i="9"/>
  <c r="T34" i="9"/>
  <c r="S5" i="9"/>
  <c r="S34" i="9" s="1"/>
  <c r="U5" i="9"/>
  <c r="U34" i="9" s="1"/>
  <c r="X34" i="9"/>
  <c r="Y5" i="9"/>
  <c r="Y34" i="9" s="1"/>
  <c r="T17" i="9"/>
  <c r="R56" i="9"/>
  <c r="AF27" i="9"/>
  <c r="T18" i="9"/>
  <c r="AJ19" i="9"/>
  <c r="Y17" i="9"/>
  <c r="Y46" i="9" s="1"/>
  <c r="W17" i="9"/>
  <c r="W46" i="9" s="1"/>
  <c r="X46" i="9"/>
  <c r="T45" i="9"/>
  <c r="S16" i="9"/>
  <c r="S45" i="9" s="1"/>
  <c r="X18" i="9"/>
  <c r="AN19" i="9"/>
  <c r="X4" i="9"/>
  <c r="T4" i="9"/>
  <c r="AB4" i="9"/>
  <c r="S6" i="9"/>
  <c r="S35" i="9" s="1"/>
  <c r="W6" i="9"/>
  <c r="W35" i="9" s="1"/>
  <c r="S6" i="1"/>
  <c r="S35" i="1" s="1"/>
  <c r="X16" i="7"/>
  <c r="AA16" i="7"/>
  <c r="Y16" i="7" s="1"/>
  <c r="Z17" i="7"/>
  <c r="X74" i="1"/>
  <c r="P18" i="1"/>
  <c r="W14" i="1"/>
  <c r="W43" i="1" s="1"/>
  <c r="R71" i="1"/>
  <c r="K14" i="1"/>
  <c r="W74" i="1"/>
  <c r="J17" i="1"/>
  <c r="O18" i="1"/>
  <c r="R73" i="1"/>
  <c r="K16" i="1"/>
  <c r="J13" i="1"/>
  <c r="O12" i="1"/>
  <c r="W70" i="1"/>
  <c r="T34" i="1"/>
  <c r="U5" i="1"/>
  <c r="U34" i="1" s="1"/>
  <c r="AF27" i="1"/>
  <c r="X34" i="1"/>
  <c r="Y5" i="1"/>
  <c r="Y34" i="1" s="1"/>
  <c r="AB34" i="1"/>
  <c r="AC5" i="1"/>
  <c r="AC34" i="1" s="1"/>
  <c r="AB4" i="1"/>
  <c r="X4" i="1"/>
  <c r="T4" i="1"/>
  <c r="W6" i="1"/>
  <c r="W35" i="1" s="1"/>
  <c r="AA6" i="1"/>
  <c r="AA35" i="1" s="1"/>
  <c r="X16" i="1"/>
  <c r="AN17" i="1"/>
  <c r="Y15" i="1"/>
  <c r="Y44" i="1" s="1"/>
  <c r="X44" i="1"/>
  <c r="AC18" i="1"/>
  <c r="AA17" i="1"/>
  <c r="AA46" i="1" s="1"/>
  <c r="AO20" i="1"/>
  <c r="AB19" i="1"/>
  <c r="T44" i="1"/>
  <c r="U15" i="1"/>
  <c r="U44" i="1" s="1"/>
  <c r="AJ18" i="1"/>
  <c r="AG17" i="1"/>
  <c r="T16" i="1"/>
  <c r="U16" i="1" s="1"/>
  <c r="U45" i="1" s="1"/>
  <c r="AM19" i="1"/>
  <c r="T45" i="8" l="1"/>
  <c r="W74" i="8"/>
  <c r="O18" i="8"/>
  <c r="J17" i="8"/>
  <c r="R73" i="8"/>
  <c r="K16" i="8"/>
  <c r="X74" i="8"/>
  <c r="P18" i="8"/>
  <c r="AJ18" i="8"/>
  <c r="AA14" i="8"/>
  <c r="AA43" i="8" s="1"/>
  <c r="X46" i="8"/>
  <c r="Y17" i="8"/>
  <c r="Y46" i="8" s="1"/>
  <c r="W17" i="8"/>
  <c r="W46" i="8" s="1"/>
  <c r="AB33" i="8"/>
  <c r="AC4" i="8"/>
  <c r="AC33" i="8" s="1"/>
  <c r="AA4" i="8"/>
  <c r="AA33" i="8" s="1"/>
  <c r="X18" i="8"/>
  <c r="AN19" i="8"/>
  <c r="AB44" i="8"/>
  <c r="AC15" i="8"/>
  <c r="AC44" i="8" s="1"/>
  <c r="AA15" i="8"/>
  <c r="AA44" i="8" s="1"/>
  <c r="AA5" i="8"/>
  <c r="AA34" i="8" s="1"/>
  <c r="AB16" i="8"/>
  <c r="AO17" i="8"/>
  <c r="T33" i="8"/>
  <c r="S4" i="8"/>
  <c r="S33" i="8" s="1"/>
  <c r="U4" i="8"/>
  <c r="U33" i="8" s="1"/>
  <c r="Y4" i="8"/>
  <c r="Y33" i="8" s="1"/>
  <c r="X33" i="8"/>
  <c r="R71" i="8"/>
  <c r="K14" i="8"/>
  <c r="U16" i="8"/>
  <c r="U45" i="8" s="1"/>
  <c r="AG17" i="8"/>
  <c r="W16" i="8"/>
  <c r="W45" i="8" s="1"/>
  <c r="S5" i="8"/>
  <c r="S34" i="8" s="1"/>
  <c r="W70" i="8"/>
  <c r="O12" i="8"/>
  <c r="J13" i="8"/>
  <c r="W5" i="9"/>
  <c r="W34" i="9" s="1"/>
  <c r="X74" i="9"/>
  <c r="P18" i="9"/>
  <c r="T33" i="9"/>
  <c r="U4" i="9"/>
  <c r="U33" i="9" s="1"/>
  <c r="S4" i="9"/>
  <c r="S33" i="9" s="1"/>
  <c r="X33" i="9"/>
  <c r="Y4" i="9"/>
  <c r="Y33" i="9" s="1"/>
  <c r="AJ20" i="9"/>
  <c r="U18" i="9"/>
  <c r="U47" i="9" s="1"/>
  <c r="AG19" i="9"/>
  <c r="AA5" i="9"/>
  <c r="AA34" i="9" s="1"/>
  <c r="X19" i="9"/>
  <c r="AN20" i="9"/>
  <c r="T47" i="9"/>
  <c r="R73" i="9"/>
  <c r="K16" i="9"/>
  <c r="AB33" i="9"/>
  <c r="AC4" i="9"/>
  <c r="AC33" i="9" s="1"/>
  <c r="X47" i="9"/>
  <c r="Y18" i="9"/>
  <c r="Y47" i="9" s="1"/>
  <c r="W74" i="9"/>
  <c r="J17" i="9"/>
  <c r="O18" i="9"/>
  <c r="W70" i="9"/>
  <c r="O12" i="9"/>
  <c r="J13" i="9"/>
  <c r="AB43" i="9"/>
  <c r="AC14" i="9"/>
  <c r="AC43" i="9" s="1"/>
  <c r="R71" i="9"/>
  <c r="K14" i="9"/>
  <c r="T46" i="9"/>
  <c r="S17" i="9"/>
  <c r="S46" i="9" s="1"/>
  <c r="AB15" i="9"/>
  <c r="AO16" i="9"/>
  <c r="W15" i="1"/>
  <c r="W44" i="1" s="1"/>
  <c r="Z18" i="7"/>
  <c r="AA17" i="7"/>
  <c r="Y17" i="7" s="1"/>
  <c r="X17" i="7"/>
  <c r="AA5" i="1"/>
  <c r="AA34" i="1" s="1"/>
  <c r="R74" i="1"/>
  <c r="K17" i="1"/>
  <c r="W75" i="1"/>
  <c r="J18" i="1"/>
  <c r="O19" i="1"/>
  <c r="M14" i="1"/>
  <c r="U71" i="1" s="1"/>
  <c r="S71" i="1"/>
  <c r="W5" i="1"/>
  <c r="W34" i="1" s="1"/>
  <c r="W69" i="1"/>
  <c r="J12" i="1"/>
  <c r="O11" i="1"/>
  <c r="R70" i="1"/>
  <c r="K13" i="1"/>
  <c r="S73" i="1"/>
  <c r="M16" i="1"/>
  <c r="U73" i="1" s="1"/>
  <c r="P19" i="1"/>
  <c r="X75" i="1"/>
  <c r="T33" i="1"/>
  <c r="U4" i="1"/>
  <c r="U33" i="1" s="1"/>
  <c r="X33" i="1"/>
  <c r="Y4" i="1"/>
  <c r="Y33" i="1" s="1"/>
  <c r="AC4" i="1"/>
  <c r="AC33" i="1" s="1"/>
  <c r="AB33" i="1"/>
  <c r="S5" i="1"/>
  <c r="S34" i="1" s="1"/>
  <c r="AC19" i="1"/>
  <c r="X17" i="1"/>
  <c r="AN18" i="1"/>
  <c r="AA18" i="1"/>
  <c r="AO21" i="1"/>
  <c r="AB20" i="1"/>
  <c r="Y16" i="1"/>
  <c r="Y45" i="1" s="1"/>
  <c r="X45" i="1"/>
  <c r="S15" i="1"/>
  <c r="S44" i="1" s="1"/>
  <c r="AG18" i="1"/>
  <c r="T45" i="1"/>
  <c r="S16" i="1"/>
  <c r="S45" i="1" s="1"/>
  <c r="T17" i="1"/>
  <c r="AJ19" i="1"/>
  <c r="AM20" i="1"/>
  <c r="W69" i="8" l="1"/>
  <c r="J12" i="8"/>
  <c r="O11" i="8"/>
  <c r="S73" i="8"/>
  <c r="M16" i="8"/>
  <c r="U73" i="8" s="1"/>
  <c r="R74" i="8"/>
  <c r="K17" i="8"/>
  <c r="AG18" i="8"/>
  <c r="X19" i="8"/>
  <c r="AN20" i="8"/>
  <c r="W75" i="8"/>
  <c r="J18" i="8"/>
  <c r="O19" i="8"/>
  <c r="Y18" i="8"/>
  <c r="W18" i="8" s="1"/>
  <c r="T17" i="8"/>
  <c r="W4" i="8"/>
  <c r="W33" i="8" s="1"/>
  <c r="S71" i="8"/>
  <c r="M14" i="8"/>
  <c r="U71" i="8" s="1"/>
  <c r="L14" i="8"/>
  <c r="T71" i="8" s="1"/>
  <c r="AO18" i="8"/>
  <c r="AB17" i="8"/>
  <c r="AJ19" i="8"/>
  <c r="T18" i="8"/>
  <c r="S16" i="8"/>
  <c r="S45" i="8" s="1"/>
  <c r="R70" i="8"/>
  <c r="K13" i="8"/>
  <c r="AB45" i="8"/>
  <c r="AC16" i="8"/>
  <c r="AC45" i="8" s="1"/>
  <c r="X75" i="8"/>
  <c r="P19" i="8"/>
  <c r="AB44" i="9"/>
  <c r="AC15" i="9"/>
  <c r="AC44" i="9" s="1"/>
  <c r="AA15" i="9"/>
  <c r="AA44" i="9" s="1"/>
  <c r="R70" i="9"/>
  <c r="K13" i="9"/>
  <c r="AN21" i="9"/>
  <c r="X20" i="9"/>
  <c r="W69" i="9"/>
  <c r="J12" i="9"/>
  <c r="O11" i="9"/>
  <c r="AA4" i="9"/>
  <c r="AA33" i="9" s="1"/>
  <c r="X48" i="9"/>
  <c r="Y19" i="9"/>
  <c r="Y48" i="9" s="1"/>
  <c r="W19" i="9"/>
  <c r="W48" i="9" s="1"/>
  <c r="S71" i="9"/>
  <c r="M14" i="9"/>
  <c r="U71" i="9" s="1"/>
  <c r="L14" i="9"/>
  <c r="T71" i="9" s="1"/>
  <c r="W75" i="9"/>
  <c r="O19" i="9"/>
  <c r="J18" i="9"/>
  <c r="AG20" i="9"/>
  <c r="U19" i="9"/>
  <c r="U48" i="9" s="1"/>
  <c r="S73" i="9"/>
  <c r="L16" i="9"/>
  <c r="T73" i="9" s="1"/>
  <c r="M16" i="9"/>
  <c r="U73" i="9" s="1"/>
  <c r="T19" i="9"/>
  <c r="X75" i="9"/>
  <c r="P19" i="9"/>
  <c r="R74" i="9"/>
  <c r="K17" i="9"/>
  <c r="AA14" i="9"/>
  <c r="AA43" i="9" s="1"/>
  <c r="S18" i="9"/>
  <c r="S47" i="9" s="1"/>
  <c r="AJ21" i="9"/>
  <c r="AO17" i="9"/>
  <c r="AB16" i="9"/>
  <c r="W18" i="9"/>
  <c r="W47" i="9" s="1"/>
  <c r="W4" i="9"/>
  <c r="W33" i="9" s="1"/>
  <c r="S4" i="1"/>
  <c r="S33" i="1" s="1"/>
  <c r="Z19" i="7"/>
  <c r="AA18" i="7"/>
  <c r="Y18" i="7" s="1"/>
  <c r="X18" i="7"/>
  <c r="AA19" i="1"/>
  <c r="W4" i="1"/>
  <c r="W33" i="1" s="1"/>
  <c r="L14" i="1"/>
  <c r="T71" i="1" s="1"/>
  <c r="M13" i="1"/>
  <c r="U70" i="1" s="1"/>
  <c r="S70" i="1"/>
  <c r="W68" i="1"/>
  <c r="O10" i="1"/>
  <c r="J11" i="1"/>
  <c r="O20" i="1"/>
  <c r="W76" i="1"/>
  <c r="J19" i="1"/>
  <c r="L16" i="1"/>
  <c r="M17" i="1"/>
  <c r="U74" i="1" s="1"/>
  <c r="S74" i="1"/>
  <c r="X76" i="1"/>
  <c r="P20" i="1"/>
  <c r="K12" i="1"/>
  <c r="R69" i="1"/>
  <c r="K18" i="1"/>
  <c r="R75" i="1"/>
  <c r="AA4" i="1"/>
  <c r="AA33" i="1" s="1"/>
  <c r="AC20" i="1"/>
  <c r="X18" i="1"/>
  <c r="AN19" i="1"/>
  <c r="Y17" i="1"/>
  <c r="Y46" i="1" s="1"/>
  <c r="X46" i="1"/>
  <c r="W16" i="1"/>
  <c r="W45" i="1" s="1"/>
  <c r="AB21" i="1"/>
  <c r="AO22" i="1"/>
  <c r="AG19" i="1"/>
  <c r="T19" i="1" s="1"/>
  <c r="T46" i="1"/>
  <c r="AJ20" i="1"/>
  <c r="U17" i="1"/>
  <c r="U46" i="1" s="1"/>
  <c r="T18" i="1"/>
  <c r="U18" i="1" s="1"/>
  <c r="AM21" i="1"/>
  <c r="S74" i="8" l="1"/>
  <c r="L17" i="8"/>
  <c r="T74" i="8" s="1"/>
  <c r="M17" i="8"/>
  <c r="U74" i="8" s="1"/>
  <c r="S70" i="8"/>
  <c r="M13" i="8"/>
  <c r="U70" i="8" s="1"/>
  <c r="L13" i="8"/>
  <c r="T70" i="8" s="1"/>
  <c r="R75" i="8"/>
  <c r="K18" i="8"/>
  <c r="L16" i="8"/>
  <c r="AN21" i="8"/>
  <c r="X20" i="8"/>
  <c r="AB18" i="8"/>
  <c r="AO19" i="8"/>
  <c r="W76" i="8"/>
  <c r="J19" i="8"/>
  <c r="O20" i="8"/>
  <c r="Y19" i="8"/>
  <c r="W19" i="8" s="1"/>
  <c r="AJ20" i="8"/>
  <c r="T19" i="8"/>
  <c r="T46" i="8"/>
  <c r="U17" i="8"/>
  <c r="U46" i="8" s="1"/>
  <c r="W68" i="8"/>
  <c r="O10" i="8"/>
  <c r="J11" i="8"/>
  <c r="N14" i="8"/>
  <c r="V71" i="8" s="1"/>
  <c r="X76" i="8"/>
  <c r="P20" i="8"/>
  <c r="AA16" i="8"/>
  <c r="AA45" i="8" s="1"/>
  <c r="AB46" i="8"/>
  <c r="AC17" i="8"/>
  <c r="AC46" i="8" s="1"/>
  <c r="AG19" i="8"/>
  <c r="U18" i="8"/>
  <c r="S18" i="8" s="1"/>
  <c r="R69" i="8"/>
  <c r="K12" i="8"/>
  <c r="S74" i="9"/>
  <c r="M17" i="9"/>
  <c r="U74" i="9" s="1"/>
  <c r="L17" i="9"/>
  <c r="T74" i="9" s="1"/>
  <c r="N14" i="9"/>
  <c r="V71" i="9" s="1"/>
  <c r="X49" i="9"/>
  <c r="W20" i="9"/>
  <c r="W49" i="9" s="1"/>
  <c r="Y20" i="9"/>
  <c r="Y49" i="9" s="1"/>
  <c r="AB45" i="9"/>
  <c r="AC16" i="9"/>
  <c r="AC45" i="9" s="1"/>
  <c r="AA16" i="9"/>
  <c r="AA45" i="9" s="1"/>
  <c r="P20" i="9"/>
  <c r="X76" i="9"/>
  <c r="AG21" i="9"/>
  <c r="U20" i="9"/>
  <c r="U49" i="9" s="1"/>
  <c r="AN22" i="9"/>
  <c r="X21" i="9"/>
  <c r="AO18" i="9"/>
  <c r="AB17" i="9"/>
  <c r="R75" i="9"/>
  <c r="K18" i="9"/>
  <c r="S70" i="9"/>
  <c r="M13" i="9"/>
  <c r="U70" i="9" s="1"/>
  <c r="AJ22" i="9"/>
  <c r="T48" i="9"/>
  <c r="S19" i="9"/>
  <c r="S48" i="9" s="1"/>
  <c r="W76" i="9"/>
  <c r="O20" i="9"/>
  <c r="J19" i="9"/>
  <c r="T20" i="9"/>
  <c r="W68" i="9"/>
  <c r="O10" i="9"/>
  <c r="J11" i="9"/>
  <c r="N16" i="9"/>
  <c r="V73" i="9" s="1"/>
  <c r="R69" i="9"/>
  <c r="K12" i="9"/>
  <c r="AA20" i="1"/>
  <c r="W17" i="1"/>
  <c r="W46" i="1" s="1"/>
  <c r="N14" i="1"/>
  <c r="V71" i="1" s="1"/>
  <c r="Z20" i="7"/>
  <c r="AA19" i="7"/>
  <c r="Y19" i="7" s="1"/>
  <c r="X19" i="7"/>
  <c r="L17" i="1"/>
  <c r="R68" i="1"/>
  <c r="K11" i="1"/>
  <c r="J10" i="1"/>
  <c r="W67" i="1"/>
  <c r="O9" i="1"/>
  <c r="M18" i="1"/>
  <c r="U75" i="1" s="1"/>
  <c r="S75" i="1"/>
  <c r="T73" i="1"/>
  <c r="N16" i="1"/>
  <c r="V73" i="1" s="1"/>
  <c r="L13" i="1"/>
  <c r="M12" i="1"/>
  <c r="U69" i="1" s="1"/>
  <c r="S69" i="1"/>
  <c r="R76" i="1"/>
  <c r="K19" i="1"/>
  <c r="W77" i="1"/>
  <c r="J20" i="1"/>
  <c r="O21" i="1"/>
  <c r="P21" i="1"/>
  <c r="X77" i="1"/>
  <c r="AN20" i="1"/>
  <c r="X19" i="1"/>
  <c r="Y18" i="1"/>
  <c r="AO23" i="1"/>
  <c r="AB22" i="1"/>
  <c r="AC21" i="1"/>
  <c r="S17" i="1"/>
  <c r="S46" i="1" s="1"/>
  <c r="AJ21" i="1"/>
  <c r="U19" i="1"/>
  <c r="AG20" i="1"/>
  <c r="S18" i="1"/>
  <c r="AM22" i="1"/>
  <c r="S69" i="8" l="1"/>
  <c r="M12" i="8"/>
  <c r="U69" i="8" s="1"/>
  <c r="L12" i="8"/>
  <c r="T69" i="8" s="1"/>
  <c r="S19" i="8"/>
  <c r="AB19" i="8"/>
  <c r="AO20" i="8"/>
  <c r="N13" i="8"/>
  <c r="V70" i="8" s="1"/>
  <c r="AC18" i="8"/>
  <c r="AA18" i="8" s="1"/>
  <c r="U19" i="8"/>
  <c r="AG20" i="8"/>
  <c r="R68" i="8"/>
  <c r="K11" i="8"/>
  <c r="Y20" i="8"/>
  <c r="W20" i="8" s="1"/>
  <c r="W67" i="8"/>
  <c r="O9" i="8"/>
  <c r="J10" i="8"/>
  <c r="AN22" i="8"/>
  <c r="X21" i="8"/>
  <c r="T20" i="8"/>
  <c r="AJ21" i="8"/>
  <c r="AA17" i="8"/>
  <c r="AA46" i="8" s="1"/>
  <c r="T73" i="8"/>
  <c r="N16" i="8"/>
  <c r="V73" i="8" s="1"/>
  <c r="N17" i="8"/>
  <c r="V74" i="8" s="1"/>
  <c r="X77" i="8"/>
  <c r="P21" i="8"/>
  <c r="W77" i="8"/>
  <c r="O21" i="8"/>
  <c r="J20" i="8"/>
  <c r="S75" i="8"/>
  <c r="M18" i="8"/>
  <c r="U75" i="8" s="1"/>
  <c r="S17" i="8"/>
  <c r="S46" i="8" s="1"/>
  <c r="R76" i="8"/>
  <c r="K19" i="8"/>
  <c r="W67" i="9"/>
  <c r="O9" i="9"/>
  <c r="J10" i="9"/>
  <c r="R76" i="9"/>
  <c r="K19" i="9"/>
  <c r="AN23" i="9"/>
  <c r="X22" i="9"/>
  <c r="S69" i="9"/>
  <c r="L12" i="9"/>
  <c r="T69" i="9" s="1"/>
  <c r="N12" i="9"/>
  <c r="V69" i="9" s="1"/>
  <c r="M12" i="9"/>
  <c r="U69" i="9" s="1"/>
  <c r="W77" i="9"/>
  <c r="O21" i="9"/>
  <c r="J20" i="9"/>
  <c r="AG22" i="9"/>
  <c r="R68" i="9"/>
  <c r="K11" i="9"/>
  <c r="S75" i="9"/>
  <c r="N18" i="9"/>
  <c r="V75" i="9" s="1"/>
  <c r="M18" i="9"/>
  <c r="U75" i="9" s="1"/>
  <c r="L18" i="9"/>
  <c r="T75" i="9" s="1"/>
  <c r="X77" i="9"/>
  <c r="P21" i="9"/>
  <c r="N17" i="9"/>
  <c r="V74" i="9" s="1"/>
  <c r="T22" i="9"/>
  <c r="AJ23" i="9"/>
  <c r="T21" i="9"/>
  <c r="U21" i="9" s="1"/>
  <c r="U50" i="9" s="1"/>
  <c r="AB18" i="9"/>
  <c r="AO19" i="9"/>
  <c r="AB46" i="9"/>
  <c r="AC17" i="9"/>
  <c r="AC46" i="9" s="1"/>
  <c r="AA17" i="9"/>
  <c r="AA46" i="9" s="1"/>
  <c r="T49" i="9"/>
  <c r="S20" i="9"/>
  <c r="S49" i="9" s="1"/>
  <c r="L13" i="9"/>
  <c r="X50" i="9"/>
  <c r="Y21" i="9"/>
  <c r="Y50" i="9" s="1"/>
  <c r="W21" i="9"/>
  <c r="W50" i="9" s="1"/>
  <c r="L12" i="1"/>
  <c r="T69" i="1" s="1"/>
  <c r="AA20" i="7"/>
  <c r="Y20" i="7" s="1"/>
  <c r="Z21" i="7"/>
  <c r="X20" i="7"/>
  <c r="L18" i="1"/>
  <c r="T74" i="1"/>
  <c r="N17" i="1"/>
  <c r="V74" i="1" s="1"/>
  <c r="X78" i="1"/>
  <c r="P22" i="1"/>
  <c r="J21" i="1"/>
  <c r="O22" i="1"/>
  <c r="W78" i="1"/>
  <c r="J9" i="1"/>
  <c r="W66" i="1"/>
  <c r="O8" i="1"/>
  <c r="R77" i="1"/>
  <c r="K20" i="1"/>
  <c r="T70" i="1"/>
  <c r="N13" i="1"/>
  <c r="V70" i="1" s="1"/>
  <c r="K10" i="1"/>
  <c r="R67" i="1"/>
  <c r="M19" i="1"/>
  <c r="U76" i="1" s="1"/>
  <c r="S76" i="1"/>
  <c r="M11" i="1"/>
  <c r="U68" i="1" s="1"/>
  <c r="S68" i="1"/>
  <c r="AC22" i="1"/>
  <c r="AB23" i="1"/>
  <c r="AO24" i="1"/>
  <c r="AA21" i="1"/>
  <c r="W18" i="1"/>
  <c r="Y19" i="1"/>
  <c r="AN21" i="1"/>
  <c r="X20" i="1"/>
  <c r="AG21" i="1"/>
  <c r="T21" i="1" s="1"/>
  <c r="T20" i="1"/>
  <c r="AJ22" i="1"/>
  <c r="S19" i="1"/>
  <c r="AM23" i="1"/>
  <c r="S76" i="8" l="1"/>
  <c r="M19" i="8"/>
  <c r="U76" i="8" s="1"/>
  <c r="O22" i="8"/>
  <c r="J21" i="8"/>
  <c r="W78" i="8"/>
  <c r="T21" i="8"/>
  <c r="AJ22" i="8"/>
  <c r="AB20" i="8"/>
  <c r="AO21" i="8"/>
  <c r="AC19" i="8"/>
  <c r="AA19" i="8" s="1"/>
  <c r="X78" i="8"/>
  <c r="P22" i="8"/>
  <c r="Y21" i="8"/>
  <c r="W21" i="8"/>
  <c r="L18" i="8"/>
  <c r="X22" i="8"/>
  <c r="AN23" i="8"/>
  <c r="U20" i="8"/>
  <c r="S20" i="8" s="1"/>
  <c r="AG21" i="8"/>
  <c r="S68" i="8"/>
  <c r="M11" i="8"/>
  <c r="U68" i="8" s="1"/>
  <c r="L11" i="8"/>
  <c r="T68" i="8" s="1"/>
  <c r="N11" i="8"/>
  <c r="V68" i="8" s="1"/>
  <c r="R67" i="8"/>
  <c r="K10" i="8"/>
  <c r="N12" i="8"/>
  <c r="V69" i="8" s="1"/>
  <c r="R77" i="8"/>
  <c r="K20" i="8"/>
  <c r="W66" i="8"/>
  <c r="O8" i="8"/>
  <c r="J9" i="8"/>
  <c r="N12" i="1"/>
  <c r="V69" i="1" s="1"/>
  <c r="AJ24" i="9"/>
  <c r="X78" i="9"/>
  <c r="P22" i="9"/>
  <c r="U22" i="9"/>
  <c r="U51" i="9" s="1"/>
  <c r="AG23" i="9"/>
  <c r="X51" i="9"/>
  <c r="Y22" i="9"/>
  <c r="Y51" i="9" s="1"/>
  <c r="AO20" i="9"/>
  <c r="AB19" i="9"/>
  <c r="R77" i="9"/>
  <c r="K20" i="9"/>
  <c r="AN24" i="9"/>
  <c r="X23" i="9"/>
  <c r="AB47" i="9"/>
  <c r="AC18" i="9"/>
  <c r="AC47" i="9" s="1"/>
  <c r="W78" i="9"/>
  <c r="O22" i="9"/>
  <c r="J21" i="9"/>
  <c r="S76" i="9"/>
  <c r="N19" i="9"/>
  <c r="V76" i="9" s="1"/>
  <c r="L19" i="9"/>
  <c r="T76" i="9" s="1"/>
  <c r="M19" i="9"/>
  <c r="U76" i="9" s="1"/>
  <c r="T70" i="9"/>
  <c r="N13" i="9"/>
  <c r="V70" i="9" s="1"/>
  <c r="T50" i="9"/>
  <c r="S21" i="9"/>
  <c r="S50" i="9" s="1"/>
  <c r="K10" i="9"/>
  <c r="R67" i="9"/>
  <c r="T51" i="9"/>
  <c r="S22" i="9"/>
  <c r="S51" i="9" s="1"/>
  <c r="N11" i="9"/>
  <c r="V68" i="9" s="1"/>
  <c r="M11" i="9"/>
  <c r="U68" i="9" s="1"/>
  <c r="S68" i="9"/>
  <c r="L11" i="9"/>
  <c r="T68" i="9" s="1"/>
  <c r="W66" i="9"/>
  <c r="J9" i="9"/>
  <c r="O8" i="9"/>
  <c r="AA22" i="1"/>
  <c r="L19" i="1"/>
  <c r="T76" i="1" s="1"/>
  <c r="AA21" i="7"/>
  <c r="Y21" i="7" s="1"/>
  <c r="X21" i="7"/>
  <c r="Z22" i="7"/>
  <c r="T75" i="1"/>
  <c r="N18" i="1"/>
  <c r="V75" i="1" s="1"/>
  <c r="J8" i="1"/>
  <c r="W65" i="1"/>
  <c r="O7" i="1"/>
  <c r="R66" i="1"/>
  <c r="K9" i="1"/>
  <c r="L11" i="1"/>
  <c r="S67" i="1"/>
  <c r="M10" i="1"/>
  <c r="U67" i="1" s="1"/>
  <c r="O23" i="1"/>
  <c r="J22" i="1"/>
  <c r="W79" i="1"/>
  <c r="K21" i="1"/>
  <c r="R78" i="1"/>
  <c r="M20" i="1"/>
  <c r="U77" i="1" s="1"/>
  <c r="S77" i="1"/>
  <c r="X79" i="1"/>
  <c r="P23" i="1"/>
  <c r="AB24" i="1"/>
  <c r="AO25" i="1"/>
  <c r="AC23" i="1"/>
  <c r="X21" i="1"/>
  <c r="AN22" i="1"/>
  <c r="Y20" i="1"/>
  <c r="W19" i="1"/>
  <c r="AG22" i="1"/>
  <c r="T22" i="1" s="1"/>
  <c r="U21" i="1"/>
  <c r="U20" i="1"/>
  <c r="AJ23" i="1"/>
  <c r="AM24" i="1"/>
  <c r="AG22" i="8" l="1"/>
  <c r="U21" i="8"/>
  <c r="S21" i="8" s="1"/>
  <c r="W65" i="8"/>
  <c r="J8" i="8"/>
  <c r="O7" i="8"/>
  <c r="R78" i="8"/>
  <c r="K21" i="8"/>
  <c r="S77" i="8"/>
  <c r="M20" i="8"/>
  <c r="U77" i="8" s="1"/>
  <c r="L20" i="8"/>
  <c r="T77" i="8" s="1"/>
  <c r="N20" i="8"/>
  <c r="V77" i="8" s="1"/>
  <c r="X79" i="8"/>
  <c r="P23" i="8"/>
  <c r="S67" i="8"/>
  <c r="N10" i="8"/>
  <c r="V67" i="8" s="1"/>
  <c r="M10" i="8"/>
  <c r="U67" i="8" s="1"/>
  <c r="L10" i="8"/>
  <c r="T67" i="8" s="1"/>
  <c r="X23" i="8"/>
  <c r="AN24" i="8"/>
  <c r="W79" i="8"/>
  <c r="O23" i="8"/>
  <c r="J22" i="8"/>
  <c r="AC20" i="8"/>
  <c r="AA20" i="8" s="1"/>
  <c r="T22" i="8"/>
  <c r="AJ23" i="8"/>
  <c r="Y22" i="8"/>
  <c r="W22" i="8" s="1"/>
  <c r="L19" i="8"/>
  <c r="R66" i="8"/>
  <c r="K9" i="8"/>
  <c r="T75" i="8"/>
  <c r="N18" i="8"/>
  <c r="V75" i="8" s="1"/>
  <c r="AB21" i="8"/>
  <c r="AO22" i="8"/>
  <c r="W65" i="9"/>
  <c r="O7" i="9"/>
  <c r="J8" i="9"/>
  <c r="R66" i="9"/>
  <c r="K9" i="9"/>
  <c r="X52" i="9"/>
  <c r="W23" i="9"/>
  <c r="W52" i="9" s="1"/>
  <c r="Y23" i="9"/>
  <c r="Y52" i="9" s="1"/>
  <c r="S67" i="9"/>
  <c r="N10" i="9"/>
  <c r="V67" i="9" s="1"/>
  <c r="M10" i="9"/>
  <c r="U67" i="9" s="1"/>
  <c r="L10" i="9"/>
  <c r="T67" i="9" s="1"/>
  <c r="AN25" i="9"/>
  <c r="X24" i="9"/>
  <c r="AG24" i="9"/>
  <c r="R78" i="9"/>
  <c r="K21" i="9"/>
  <c r="S77" i="9"/>
  <c r="M20" i="9"/>
  <c r="U77" i="9" s="1"/>
  <c r="W79" i="9"/>
  <c r="O23" i="9"/>
  <c r="J22" i="9"/>
  <c r="X79" i="9"/>
  <c r="P23" i="9"/>
  <c r="AB48" i="9"/>
  <c r="AC19" i="9"/>
  <c r="AC48" i="9" s="1"/>
  <c r="AA19" i="9"/>
  <c r="AA48" i="9" s="1"/>
  <c r="AB20" i="9"/>
  <c r="AO21" i="9"/>
  <c r="AJ25" i="9"/>
  <c r="AA18" i="9"/>
  <c r="AA47" i="9" s="1"/>
  <c r="W22" i="9"/>
  <c r="W51" i="9" s="1"/>
  <c r="T23" i="9"/>
  <c r="U23" i="9" s="1"/>
  <c r="U52" i="9" s="1"/>
  <c r="N19" i="1"/>
  <c r="V76" i="1" s="1"/>
  <c r="Z23" i="7"/>
  <c r="AA22" i="7"/>
  <c r="Y22" i="7" s="1"/>
  <c r="X22" i="7"/>
  <c r="L10" i="1"/>
  <c r="T67" i="1" s="1"/>
  <c r="X80" i="1"/>
  <c r="P24" i="1"/>
  <c r="X81" i="1" s="1"/>
  <c r="S78" i="1"/>
  <c r="M21" i="1"/>
  <c r="U78" i="1" s="1"/>
  <c r="T68" i="1"/>
  <c r="N11" i="1"/>
  <c r="V68" i="1" s="1"/>
  <c r="M9" i="1"/>
  <c r="U66" i="1" s="1"/>
  <c r="S66" i="1"/>
  <c r="R65" i="1"/>
  <c r="K8" i="1"/>
  <c r="R79" i="1"/>
  <c r="K22" i="1"/>
  <c r="L20" i="1"/>
  <c r="J23" i="1"/>
  <c r="W80" i="1"/>
  <c r="O24" i="1"/>
  <c r="J7" i="1"/>
  <c r="O6" i="1"/>
  <c r="W64" i="1"/>
  <c r="AA23" i="1"/>
  <c r="W20" i="1"/>
  <c r="Y21" i="1"/>
  <c r="X22" i="1"/>
  <c r="AN23" i="1"/>
  <c r="AO26" i="1"/>
  <c r="AB25" i="1"/>
  <c r="AC24" i="1"/>
  <c r="S21" i="1"/>
  <c r="AJ24" i="1"/>
  <c r="AG23" i="1"/>
  <c r="U22" i="1"/>
  <c r="S20" i="1"/>
  <c r="AM25" i="1"/>
  <c r="K22" i="8" l="1"/>
  <c r="R79" i="8"/>
  <c r="W80" i="8"/>
  <c r="J23" i="8"/>
  <c r="O24" i="8"/>
  <c r="W64" i="8"/>
  <c r="J7" i="8"/>
  <c r="O6" i="8"/>
  <c r="T76" i="8"/>
  <c r="N19" i="8"/>
  <c r="V76" i="8" s="1"/>
  <c r="X80" i="8"/>
  <c r="P24" i="8"/>
  <c r="X81" i="8" s="1"/>
  <c r="R65" i="8"/>
  <c r="K8" i="8"/>
  <c r="S66" i="8"/>
  <c r="L9" i="8"/>
  <c r="T66" i="8" s="1"/>
  <c r="N9" i="8"/>
  <c r="V66" i="8" s="1"/>
  <c r="M9" i="8"/>
  <c r="U66" i="8" s="1"/>
  <c r="AB22" i="8"/>
  <c r="AO23" i="8"/>
  <c r="X24" i="8"/>
  <c r="AN25" i="8"/>
  <c r="S78" i="8"/>
  <c r="M21" i="8"/>
  <c r="U78" i="8" s="1"/>
  <c r="AC21" i="8"/>
  <c r="AA21" i="8" s="1"/>
  <c r="AJ24" i="8"/>
  <c r="T23" i="8"/>
  <c r="Y23" i="8"/>
  <c r="W23" i="8" s="1"/>
  <c r="S22" i="8"/>
  <c r="AG23" i="8"/>
  <c r="U22" i="8"/>
  <c r="AB21" i="9"/>
  <c r="AO22" i="9"/>
  <c r="W80" i="9"/>
  <c r="J23" i="9"/>
  <c r="O24" i="9"/>
  <c r="AB49" i="9"/>
  <c r="AC20" i="9"/>
  <c r="AC49" i="9" s="1"/>
  <c r="AG25" i="9"/>
  <c r="L20" i="9"/>
  <c r="X53" i="9"/>
  <c r="Y24" i="9"/>
  <c r="Y53" i="9" s="1"/>
  <c r="T52" i="9"/>
  <c r="S23" i="9"/>
  <c r="S52" i="9" s="1"/>
  <c r="AN26" i="9"/>
  <c r="X25" i="9"/>
  <c r="S66" i="9"/>
  <c r="M9" i="9"/>
  <c r="U66" i="9" s="1"/>
  <c r="L9" i="9"/>
  <c r="T66" i="9" s="1"/>
  <c r="N9" i="9"/>
  <c r="V66" i="9" s="1"/>
  <c r="S78" i="9"/>
  <c r="M21" i="9"/>
  <c r="U78" i="9" s="1"/>
  <c r="W64" i="9"/>
  <c r="O6" i="9"/>
  <c r="J7" i="9"/>
  <c r="X80" i="9"/>
  <c r="P24" i="9"/>
  <c r="X81" i="9" s="1"/>
  <c r="R65" i="9"/>
  <c r="K8" i="9"/>
  <c r="T24" i="9"/>
  <c r="AJ26" i="9"/>
  <c r="T25" i="9"/>
  <c r="R79" i="9"/>
  <c r="K22" i="9"/>
  <c r="L9" i="1"/>
  <c r="N10" i="1"/>
  <c r="V67" i="1" s="1"/>
  <c r="X23" i="7"/>
  <c r="AA23" i="7"/>
  <c r="Y23" i="7" s="1"/>
  <c r="Z24" i="7"/>
  <c r="S79" i="1"/>
  <c r="M22" i="1"/>
  <c r="U79" i="1" s="1"/>
  <c r="O5" i="1"/>
  <c r="J6" i="1"/>
  <c r="W63" i="1"/>
  <c r="M8" i="1"/>
  <c r="U65" i="1" s="1"/>
  <c r="S65" i="1"/>
  <c r="R64" i="1"/>
  <c r="K7" i="1"/>
  <c r="L21" i="1"/>
  <c r="W81" i="1"/>
  <c r="J24" i="1"/>
  <c r="R80" i="1"/>
  <c r="K23" i="1"/>
  <c r="T77" i="1"/>
  <c r="N20" i="1"/>
  <c r="V77" i="1" s="1"/>
  <c r="AC25" i="1"/>
  <c r="AB26" i="1"/>
  <c r="AO27" i="1"/>
  <c r="AB27" i="1" s="1"/>
  <c r="AN24" i="1"/>
  <c r="X23" i="1"/>
  <c r="AA24" i="1"/>
  <c r="Y22" i="1"/>
  <c r="W21" i="1"/>
  <c r="AJ25" i="1"/>
  <c r="AG24" i="1"/>
  <c r="T24" i="1" s="1"/>
  <c r="S22" i="1"/>
  <c r="T23" i="1"/>
  <c r="AM26" i="1"/>
  <c r="W63" i="8" l="1"/>
  <c r="J6" i="8"/>
  <c r="O5" i="8"/>
  <c r="R64" i="8"/>
  <c r="K7" i="8"/>
  <c r="N8" i="8"/>
  <c r="V65" i="8" s="1"/>
  <c r="S65" i="8"/>
  <c r="M8" i="8"/>
  <c r="U65" i="8" s="1"/>
  <c r="L8" i="8"/>
  <c r="T65" i="8" s="1"/>
  <c r="AJ25" i="8"/>
  <c r="Y24" i="8"/>
  <c r="W24" i="8"/>
  <c r="W81" i="8"/>
  <c r="J24" i="8"/>
  <c r="AO24" i="8"/>
  <c r="AB23" i="8"/>
  <c r="R80" i="8"/>
  <c r="K23" i="8"/>
  <c r="S23" i="8"/>
  <c r="AC22" i="8"/>
  <c r="AA22" i="8"/>
  <c r="AN26" i="8"/>
  <c r="X25" i="8"/>
  <c r="U23" i="8"/>
  <c r="AG24" i="8"/>
  <c r="L21" i="8"/>
  <c r="S79" i="8"/>
  <c r="M22" i="8"/>
  <c r="U79" i="8" s="1"/>
  <c r="AA20" i="9"/>
  <c r="AA49" i="9" s="1"/>
  <c r="S79" i="9"/>
  <c r="L22" i="9"/>
  <c r="T79" i="9" s="1"/>
  <c r="M22" i="9"/>
  <c r="U79" i="9" s="1"/>
  <c r="R64" i="9"/>
  <c r="K7" i="9"/>
  <c r="W24" i="9"/>
  <c r="W53" i="9" s="1"/>
  <c r="W81" i="9"/>
  <c r="J24" i="9"/>
  <c r="T54" i="9"/>
  <c r="S25" i="9"/>
  <c r="S54" i="9" s="1"/>
  <c r="R80" i="9"/>
  <c r="K23" i="9"/>
  <c r="W63" i="9"/>
  <c r="J6" i="9"/>
  <c r="O5" i="9"/>
  <c r="AJ27" i="9"/>
  <c r="T53" i="9"/>
  <c r="X54" i="9"/>
  <c r="Y25" i="9"/>
  <c r="Y54" i="9" s="1"/>
  <c r="U25" i="9"/>
  <c r="U54" i="9" s="1"/>
  <c r="AG26" i="9"/>
  <c r="AB22" i="9"/>
  <c r="AO23" i="9"/>
  <c r="T77" i="9"/>
  <c r="N20" i="9"/>
  <c r="V77" i="9" s="1"/>
  <c r="S65" i="9"/>
  <c r="N8" i="9"/>
  <c r="V65" i="9" s="1"/>
  <c r="L8" i="9"/>
  <c r="T65" i="9" s="1"/>
  <c r="M8" i="9"/>
  <c r="U65" i="9" s="1"/>
  <c r="L21" i="9"/>
  <c r="AN27" i="9"/>
  <c r="X27" i="9" s="1"/>
  <c r="X26" i="9"/>
  <c r="U24" i="9"/>
  <c r="U53" i="9" s="1"/>
  <c r="AB50" i="9"/>
  <c r="AC21" i="9"/>
  <c r="AC50" i="9" s="1"/>
  <c r="L8" i="1"/>
  <c r="T66" i="1"/>
  <c r="N9" i="1"/>
  <c r="V66" i="1" s="1"/>
  <c r="W22" i="1"/>
  <c r="X24" i="7"/>
  <c r="Z25" i="7"/>
  <c r="AA24" i="7"/>
  <c r="Y24" i="7" s="1"/>
  <c r="L22" i="1"/>
  <c r="R63" i="1"/>
  <c r="K6" i="1"/>
  <c r="M7" i="1"/>
  <c r="U64" i="1" s="1"/>
  <c r="S64" i="1"/>
  <c r="L7" i="1"/>
  <c r="T64" i="1" s="1"/>
  <c r="N7" i="1"/>
  <c r="V64" i="1" s="1"/>
  <c r="W62" i="1"/>
  <c r="O4" i="1"/>
  <c r="W61" i="1" s="1"/>
  <c r="K24" i="1"/>
  <c r="R81" i="1"/>
  <c r="M23" i="1"/>
  <c r="U80" i="1" s="1"/>
  <c r="S80" i="1"/>
  <c r="T78" i="1"/>
  <c r="N21" i="1"/>
  <c r="V78" i="1" s="1"/>
  <c r="AA25" i="1"/>
  <c r="Y23" i="1"/>
  <c r="AC26" i="1"/>
  <c r="AN25" i="1"/>
  <c r="X24" i="1"/>
  <c r="AC27" i="1"/>
  <c r="AJ26" i="1"/>
  <c r="AG25" i="1"/>
  <c r="T25" i="1" s="1"/>
  <c r="U24" i="1"/>
  <c r="U23" i="1"/>
  <c r="AM27" i="1"/>
  <c r="L22" i="8" l="1"/>
  <c r="X26" i="8"/>
  <c r="AN27" i="8"/>
  <c r="X27" i="8" s="1"/>
  <c r="R81" i="8"/>
  <c r="K24" i="8"/>
  <c r="S64" i="8"/>
  <c r="N7" i="8"/>
  <c r="V64" i="8" s="1"/>
  <c r="M7" i="8"/>
  <c r="U64" i="8" s="1"/>
  <c r="L7" i="8"/>
  <c r="T64" i="8" s="1"/>
  <c r="Y25" i="8"/>
  <c r="W25" i="8" s="1"/>
  <c r="AO25" i="8"/>
  <c r="AB24" i="8"/>
  <c r="T78" i="8"/>
  <c r="N21" i="8"/>
  <c r="V78" i="8" s="1"/>
  <c r="S80" i="8"/>
  <c r="M23" i="8"/>
  <c r="U80" i="8" s="1"/>
  <c r="AJ26" i="8"/>
  <c r="W62" i="8"/>
  <c r="O4" i="8"/>
  <c r="W61" i="8" s="1"/>
  <c r="AG25" i="8"/>
  <c r="T25" i="8" s="1"/>
  <c r="T24" i="8"/>
  <c r="R63" i="8"/>
  <c r="K6" i="8"/>
  <c r="AC23" i="8"/>
  <c r="AA23" i="8"/>
  <c r="W25" i="9"/>
  <c r="W54" i="9" s="1"/>
  <c r="R63" i="9"/>
  <c r="K6" i="9"/>
  <c r="S64" i="9"/>
  <c r="N7" i="9"/>
  <c r="V64" i="9" s="1"/>
  <c r="L7" i="9"/>
  <c r="T64" i="9" s="1"/>
  <c r="M7" i="9"/>
  <c r="U64" i="9" s="1"/>
  <c r="S80" i="9"/>
  <c r="M23" i="9"/>
  <c r="U80" i="9" s="1"/>
  <c r="X55" i="9"/>
  <c r="Y26" i="9"/>
  <c r="Y55" i="9" s="1"/>
  <c r="S24" i="9"/>
  <c r="S53" i="9" s="1"/>
  <c r="N22" i="9"/>
  <c r="V79" i="9" s="1"/>
  <c r="T78" i="9"/>
  <c r="N21" i="9"/>
  <c r="V78" i="9" s="1"/>
  <c r="Y27" i="9"/>
  <c r="Y56" i="9" s="1"/>
  <c r="X56" i="9"/>
  <c r="AB51" i="9"/>
  <c r="AC22" i="9"/>
  <c r="AC51" i="9" s="1"/>
  <c r="AG27" i="9"/>
  <c r="T26" i="9"/>
  <c r="K24" i="9"/>
  <c r="R81" i="9"/>
  <c r="AO24" i="9"/>
  <c r="AB23" i="9"/>
  <c r="T27" i="9"/>
  <c r="AA21" i="9"/>
  <c r="AA50" i="9" s="1"/>
  <c r="W62" i="9"/>
  <c r="O4" i="9"/>
  <c r="W61" i="9" s="1"/>
  <c r="T65" i="1"/>
  <c r="N8" i="1"/>
  <c r="V65" i="1" s="1"/>
  <c r="L23" i="1"/>
  <c r="T80" i="1" s="1"/>
  <c r="AA25" i="7"/>
  <c r="Y25" i="7" s="1"/>
  <c r="Z26" i="7"/>
  <c r="X25" i="7"/>
  <c r="T79" i="1"/>
  <c r="N22" i="1"/>
  <c r="V79" i="1" s="1"/>
  <c r="S81" i="1"/>
  <c r="M24" i="1"/>
  <c r="U81" i="1" s="1"/>
  <c r="M6" i="1"/>
  <c r="U63" i="1" s="1"/>
  <c r="S63" i="1"/>
  <c r="L6" i="1"/>
  <c r="T63" i="1" s="1"/>
  <c r="N6" i="1"/>
  <c r="V63" i="1" s="1"/>
  <c r="AA26" i="1"/>
  <c r="Y24" i="1"/>
  <c r="X25" i="1"/>
  <c r="AN26" i="1"/>
  <c r="W23" i="1"/>
  <c r="S24" i="1"/>
  <c r="AG26" i="1"/>
  <c r="T26" i="1" s="1"/>
  <c r="U25" i="1"/>
  <c r="S23" i="1"/>
  <c r="AJ27" i="1"/>
  <c r="AA27" i="1"/>
  <c r="AJ27" i="8" l="1"/>
  <c r="AC24" i="8"/>
  <c r="AA24" i="8"/>
  <c r="S81" i="8"/>
  <c r="L24" i="8"/>
  <c r="T81" i="8" s="1"/>
  <c r="N24" i="8"/>
  <c r="V81" i="8" s="1"/>
  <c r="M24" i="8"/>
  <c r="U81" i="8" s="1"/>
  <c r="M6" i="8"/>
  <c r="U63" i="8" s="1"/>
  <c r="S63" i="8"/>
  <c r="L6" i="8"/>
  <c r="T63" i="8" s="1"/>
  <c r="N6" i="8"/>
  <c r="V63" i="8" s="1"/>
  <c r="AO26" i="8"/>
  <c r="AB25" i="8"/>
  <c r="U25" i="8"/>
  <c r="S25" i="8" s="1"/>
  <c r="AG26" i="8"/>
  <c r="T26" i="8" s="1"/>
  <c r="L23" i="8"/>
  <c r="Y27" i="8"/>
  <c r="W27" i="8"/>
  <c r="Y26" i="8"/>
  <c r="W26" i="8"/>
  <c r="U24" i="8"/>
  <c r="S24" i="8" s="1"/>
  <c r="T79" i="8"/>
  <c r="N22" i="8"/>
  <c r="V79" i="8" s="1"/>
  <c r="T56" i="9"/>
  <c r="AA22" i="9"/>
  <c r="AA51" i="9" s="1"/>
  <c r="S81" i="9"/>
  <c r="M24" i="9"/>
  <c r="U81" i="9" s="1"/>
  <c r="AB52" i="9"/>
  <c r="AC23" i="9"/>
  <c r="AC52" i="9" s="1"/>
  <c r="AO25" i="9"/>
  <c r="AB24" i="9"/>
  <c r="W27" i="9"/>
  <c r="W56" i="9" s="1"/>
  <c r="W26" i="9"/>
  <c r="W55" i="9" s="1"/>
  <c r="S63" i="9"/>
  <c r="N6" i="9"/>
  <c r="V63" i="9" s="1"/>
  <c r="M6" i="9"/>
  <c r="U63" i="9" s="1"/>
  <c r="L6" i="9"/>
  <c r="T63" i="9" s="1"/>
  <c r="U27" i="9"/>
  <c r="U56" i="9" s="1"/>
  <c r="L23" i="9"/>
  <c r="T55" i="9"/>
  <c r="U26" i="9"/>
  <c r="U55" i="9" s="1"/>
  <c r="N23" i="1"/>
  <c r="V80" i="1" s="1"/>
  <c r="W24" i="1"/>
  <c r="AA26" i="7"/>
  <c r="Y26" i="7" s="1"/>
  <c r="Z27" i="7"/>
  <c r="X26" i="7"/>
  <c r="L24" i="1"/>
  <c r="X26" i="1"/>
  <c r="AN27" i="1"/>
  <c r="X27" i="1" s="1"/>
  <c r="Y25" i="1"/>
  <c r="S25" i="1"/>
  <c r="AG27" i="1"/>
  <c r="T27" i="1" s="1"/>
  <c r="U26" i="1"/>
  <c r="AC25" i="8" l="1"/>
  <c r="AA25" i="8"/>
  <c r="T27" i="8"/>
  <c r="T80" i="8"/>
  <c r="N23" i="8"/>
  <c r="V80" i="8" s="1"/>
  <c r="AO27" i="8"/>
  <c r="AB27" i="8" s="1"/>
  <c r="AB26" i="8"/>
  <c r="AG27" i="8"/>
  <c r="U26" i="8"/>
  <c r="S26" i="8" s="1"/>
  <c r="S26" i="9"/>
  <c r="S55" i="9" s="1"/>
  <c r="T80" i="9"/>
  <c r="N23" i="9"/>
  <c r="V80" i="9" s="1"/>
  <c r="AB53" i="9"/>
  <c r="AC24" i="9"/>
  <c r="AC53" i="9" s="1"/>
  <c r="AO26" i="9"/>
  <c r="AB25" i="9"/>
  <c r="L24" i="9"/>
  <c r="AA23" i="9"/>
  <c r="AA52" i="9" s="1"/>
  <c r="S27" i="9"/>
  <c r="S56" i="9" s="1"/>
  <c r="AA27" i="7"/>
  <c r="Y27" i="7" s="1"/>
  <c r="Z28" i="7"/>
  <c r="X27" i="7"/>
  <c r="T81" i="1"/>
  <c r="N24" i="1"/>
  <c r="V81" i="1" s="1"/>
  <c r="W25" i="1"/>
  <c r="Y27" i="1"/>
  <c r="Y26" i="1"/>
  <c r="U27" i="1"/>
  <c r="S26" i="1"/>
  <c r="AC26" i="8" l="1"/>
  <c r="AA26" i="8"/>
  <c r="AC27" i="8"/>
  <c r="AA27" i="8"/>
  <c r="U27" i="8"/>
  <c r="S27" i="8" s="1"/>
  <c r="AB54" i="9"/>
  <c r="AC25" i="9"/>
  <c r="AC54" i="9" s="1"/>
  <c r="AA24" i="9"/>
  <c r="AA53" i="9" s="1"/>
  <c r="AB26" i="9"/>
  <c r="AO27" i="9"/>
  <c r="AB27" i="9" s="1"/>
  <c r="T81" i="9"/>
  <c r="N24" i="9"/>
  <c r="V81" i="9" s="1"/>
  <c r="W26" i="1"/>
  <c r="Z29" i="7"/>
  <c r="AA28" i="7"/>
  <c r="Y28" i="7" s="1"/>
  <c r="X28" i="7"/>
  <c r="W27" i="1"/>
  <c r="S27" i="1"/>
  <c r="AB56" i="9" l="1"/>
  <c r="AC27" i="9"/>
  <c r="AC56" i="9" s="1"/>
  <c r="AB55" i="9"/>
  <c r="AC26" i="9"/>
  <c r="AC55" i="9" s="1"/>
  <c r="AA25" i="9"/>
  <c r="AA54" i="9" s="1"/>
  <c r="AA29" i="7"/>
  <c r="Y29" i="7" s="1"/>
  <c r="Z30" i="7"/>
  <c r="X29" i="7"/>
  <c r="AA26" i="9" l="1"/>
  <c r="AA55" i="9" s="1"/>
  <c r="AA27" i="9"/>
  <c r="AA56" i="9" s="1"/>
  <c r="AA30" i="7"/>
  <c r="Y30" i="7" s="1"/>
  <c r="Z31" i="7"/>
  <c r="X30" i="7"/>
  <c r="Z32" i="7" l="1"/>
  <c r="AA31" i="7"/>
  <c r="Y31" i="7" s="1"/>
  <c r="X31" i="7"/>
  <c r="X32" i="7" l="1"/>
  <c r="AA32" i="7"/>
  <c r="Y32" i="7" s="1"/>
  <c r="Z33" i="7"/>
  <c r="Z34" i="7" l="1"/>
  <c r="AA33" i="7"/>
  <c r="Y33" i="7" s="1"/>
  <c r="X33" i="7"/>
  <c r="AA34" i="7" l="1"/>
  <c r="Y34" i="7" s="1"/>
  <c r="X34" i="7"/>
  <c r="Z35" i="7"/>
  <c r="Z36" i="7" l="1"/>
  <c r="AA35" i="7"/>
  <c r="Y35" i="7" s="1"/>
  <c r="X35" i="7"/>
  <c r="X36" i="7" l="1"/>
  <c r="AA36" i="7"/>
  <c r="Y36" i="7" s="1"/>
  <c r="Z37" i="7"/>
  <c r="Z38" i="7" l="1"/>
  <c r="X37" i="7"/>
  <c r="AA37" i="7"/>
  <c r="Y37" i="7" s="1"/>
  <c r="X38" i="7" l="1"/>
  <c r="AA38" i="7"/>
  <c r="Y38" i="7" s="1"/>
  <c r="Z39" i="7"/>
  <c r="X39" i="7" l="1"/>
  <c r="Z40" i="7"/>
  <c r="AA39" i="7"/>
  <c r="Y39" i="7" s="1"/>
  <c r="Z41" i="7" l="1"/>
  <c r="X40" i="7"/>
  <c r="AA40" i="7"/>
  <c r="Y40" i="7" s="1"/>
  <c r="Z42" i="7" l="1"/>
  <c r="AA41" i="7"/>
  <c r="Y41" i="7" s="1"/>
  <c r="X41" i="7"/>
  <c r="Z43" i="7" l="1"/>
  <c r="AA42" i="7"/>
  <c r="Y42" i="7" s="1"/>
  <c r="X42" i="7"/>
  <c r="Z44" i="7" l="1"/>
  <c r="AA43" i="7"/>
  <c r="Y43" i="7" s="1"/>
  <c r="X43" i="7"/>
  <c r="AA44" i="7" l="1"/>
  <c r="Y44" i="7" s="1"/>
  <c r="X44" i="7"/>
  <c r="Z45" i="7"/>
  <c r="AA45" i="7" l="1"/>
  <c r="Y45" i="7" s="1"/>
  <c r="X45" i="7"/>
  <c r="Z46" i="7"/>
  <c r="AA46" i="7" l="1"/>
  <c r="Y46" i="7" s="1"/>
  <c r="Z47" i="7"/>
  <c r="X46" i="7"/>
  <c r="Z48" i="7" l="1"/>
  <c r="AA47" i="7"/>
  <c r="Y47" i="7" s="1"/>
  <c r="X47" i="7"/>
  <c r="Z49" i="7" l="1"/>
  <c r="X48" i="7"/>
  <c r="AA48" i="7"/>
  <c r="Y48" i="7" s="1"/>
  <c r="Z50" i="7" l="1"/>
  <c r="X49" i="7"/>
  <c r="AA49" i="7"/>
  <c r="Y49" i="7" s="1"/>
  <c r="Z51" i="7" l="1"/>
  <c r="AA50" i="7"/>
  <c r="Y50" i="7" s="1"/>
  <c r="X50" i="7"/>
  <c r="AA51" i="7" l="1"/>
  <c r="Y51" i="7" s="1"/>
  <c r="X51" i="7"/>
  <c r="H160" i="1" l="1"/>
  <c r="G56" i="1"/>
  <c r="G163" i="1" s="1"/>
  <c r="H54" i="1"/>
  <c r="H161" i="1" l="1"/>
  <c r="G57" i="1"/>
  <c r="G164" i="1" s="1"/>
  <c r="E56" i="1" l="1"/>
  <c r="D56" i="1"/>
  <c r="C162" i="1"/>
  <c r="D144" i="1"/>
  <c r="E144" i="1"/>
  <c r="F145" i="1"/>
  <c r="D145" i="1"/>
  <c r="D57" i="1" l="1"/>
  <c r="D164" i="1" s="1"/>
  <c r="D163" i="1"/>
  <c r="E57" i="1"/>
  <c r="E164" i="1" s="1"/>
  <c r="E163" i="1"/>
  <c r="D40" i="1"/>
  <c r="C69" i="1" s="1"/>
  <c r="E40" i="1" l="1"/>
  <c r="F40" i="1"/>
  <c r="D146" i="1"/>
  <c r="F146" i="1" l="1"/>
  <c r="F38" i="1"/>
  <c r="F144" i="1" s="1"/>
  <c r="E39" i="1"/>
  <c r="E145" i="1" s="1"/>
  <c r="E146" i="1"/>
  <c r="H41" i="1"/>
  <c r="I143" i="1"/>
  <c r="D65" i="1"/>
  <c r="E63" i="1"/>
  <c r="C169" i="1"/>
  <c r="F65" i="1"/>
  <c r="C43" i="1" l="1"/>
  <c r="D44" i="1" s="1"/>
  <c r="F72" i="1"/>
  <c r="E70" i="1"/>
  <c r="E178" i="1" s="1"/>
  <c r="D72" i="1"/>
  <c r="C66" i="1"/>
  <c r="C173" i="1" s="1"/>
  <c r="D172" i="1"/>
  <c r="H147" i="1"/>
  <c r="G44" i="1"/>
  <c r="H42" i="1"/>
  <c r="H148" i="1" s="1"/>
  <c r="F172" i="1"/>
  <c r="H65" i="1"/>
  <c r="F66" i="1"/>
  <c r="C149" i="1" l="1"/>
  <c r="D45" i="1"/>
  <c r="E44" i="1"/>
  <c r="E45" i="1" s="1"/>
  <c r="G45" i="1"/>
  <c r="G151" i="1" s="1"/>
  <c r="G150" i="1"/>
  <c r="H172" i="1"/>
  <c r="H63" i="1"/>
  <c r="C73" i="1"/>
  <c r="C181" i="1" s="1"/>
  <c r="D180" i="1"/>
  <c r="H66" i="1"/>
  <c r="H173" i="1" s="1"/>
  <c r="F173" i="1"/>
  <c r="F73" i="1"/>
  <c r="H72" i="1"/>
  <c r="F180" i="1"/>
  <c r="E150" i="1" l="1"/>
  <c r="E151" i="1"/>
  <c r="D150" i="1"/>
  <c r="D151" i="1"/>
  <c r="H170" i="1"/>
  <c r="H62" i="1"/>
  <c r="H73" i="1"/>
  <c r="H181" i="1" s="1"/>
  <c r="F181" i="1"/>
  <c r="H180" i="1"/>
  <c r="H69" i="1"/>
  <c r="H70" i="1" l="1"/>
  <c r="H178" i="1" s="1"/>
  <c r="H1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Iles &amp; Associates Ltd.</author>
    <author xml:space="preserve">Kim Iles </author>
    <author>*</author>
    <author>Kim Iles &amp; Associates</author>
    <author>Kim Iles</author>
  </authors>
  <commentList>
    <comment ref="A1" authorId="0" shapeId="0" xr:uid="{00000000-0006-0000-0000-000001000000}">
      <text>
        <r>
          <rPr>
            <sz val="10"/>
            <color indexed="81"/>
            <rFont val="Tahoma"/>
            <family val="2"/>
          </rPr>
          <t xml:space="preserve">   This section (#1) computes the </t>
        </r>
        <r>
          <rPr>
            <sz val="10"/>
            <color indexed="10"/>
            <rFont val="Tahoma"/>
            <family val="2"/>
          </rPr>
          <t>optimal ratio</t>
        </r>
        <r>
          <rPr>
            <sz val="10"/>
            <color indexed="81"/>
            <rFont val="Tahoma"/>
            <family val="2"/>
          </rPr>
          <t xml:space="preserve"> and number for </t>
        </r>
        <r>
          <rPr>
            <sz val="10"/>
            <color indexed="10"/>
            <rFont val="Tahoma"/>
            <family val="2"/>
          </rPr>
          <t>"count plots" vs. "Measurements"</t>
        </r>
        <r>
          <rPr>
            <sz val="10"/>
            <color indexed="81"/>
            <rFont val="Tahoma"/>
            <family val="2"/>
          </rPr>
          <t xml:space="preserve"> (usually, measured trees)
   This may not be the current version of the spreadsheet (see about *BAR, cell E20).  The spreadsheet has </t>
        </r>
        <r>
          <rPr>
            <u/>
            <sz val="10"/>
            <color indexed="81"/>
            <rFont val="Tahoma"/>
            <family val="2"/>
          </rPr>
          <t>no</t>
        </r>
        <r>
          <rPr>
            <sz val="10"/>
            <color indexed="81"/>
            <rFont val="Tahoma"/>
            <family val="2"/>
          </rPr>
          <t xml:space="preserve"> macros.
This spreadsheet using the "product estimate" approach of (average point Basal area * average VBAR) to estimate volume/acre or hectare.  This is sometimes known as "Bruce's method" for stand volume in forestry - but is well known as a statistical approach.</t>
        </r>
      </text>
    </comment>
    <comment ref="N1" authorId="0" shapeId="0" xr:uid="{00000000-0006-0000-0000-000002000000}">
      <text>
        <r>
          <rPr>
            <sz val="10"/>
            <color indexed="81"/>
            <rFont val="Tahoma"/>
            <family val="2"/>
          </rPr>
          <t xml:space="preserve">  This is the </t>
        </r>
        <r>
          <rPr>
            <sz val="10"/>
            <color indexed="10"/>
            <rFont val="Tahoma"/>
            <family val="2"/>
          </rPr>
          <t>midpoint interval</t>
        </r>
        <r>
          <rPr>
            <sz val="10"/>
            <color indexed="81"/>
            <rFont val="Tahoma"/>
            <family val="2"/>
          </rPr>
          <t xml:space="preserve"> for displaying data on some of the graphs.  It is copied from cell B11, but </t>
        </r>
        <r>
          <rPr>
            <sz val="10"/>
            <color indexed="10"/>
            <rFont val="Tahoma"/>
            <family val="2"/>
          </rPr>
          <t xml:space="preserve">you can change the midpoint </t>
        </r>
        <r>
          <rPr>
            <sz val="10"/>
            <color indexed="18"/>
            <rFont val="Tahoma"/>
            <family val="2"/>
          </rPr>
          <t xml:space="preserve">by </t>
        </r>
        <r>
          <rPr>
            <sz val="10"/>
            <color indexed="81"/>
            <rFont val="Tahoma"/>
            <family val="2"/>
          </rPr>
          <t xml:space="preserve">using the increment in cell L2.  If you put in -20, the midpoint will be shifted down to 20. </t>
        </r>
      </text>
    </comment>
    <comment ref="P1" authorId="0" shapeId="0" xr:uid="{00000000-0006-0000-0000-000003000000}">
      <text>
        <r>
          <rPr>
            <sz val="10"/>
            <color indexed="81"/>
            <rFont val="Tahoma"/>
            <family val="2"/>
          </rPr>
          <t xml:space="preserve">  This is the interval for the tree count numbers displayed in column I, 6-24.  </t>
        </r>
        <r>
          <rPr>
            <sz val="10"/>
            <color indexed="10"/>
            <rFont val="Tahoma"/>
            <family val="2"/>
          </rPr>
          <t>Enter the interval you want to use.</t>
        </r>
      </text>
    </comment>
    <comment ref="U1" authorId="0" shapeId="0" xr:uid="{00000000-0006-0000-0000-000004000000}">
      <text>
        <r>
          <rPr>
            <sz val="10"/>
            <color indexed="81"/>
            <rFont val="Tahoma"/>
            <family val="2"/>
          </rPr>
          <t xml:space="preserve">  This is the </t>
        </r>
        <r>
          <rPr>
            <u/>
            <sz val="10"/>
            <color indexed="81"/>
            <rFont val="Tahoma"/>
            <family val="2"/>
          </rPr>
          <t>midpoint</t>
        </r>
        <r>
          <rPr>
            <sz val="10"/>
            <color indexed="81"/>
            <rFont val="Tahoma"/>
            <family val="2"/>
          </rPr>
          <t xml:space="preserve"> for the SE% (in cell Q15) and this range is displayed on some of the graphs in the Graph Worksheet.  
  </t>
        </r>
        <r>
          <rPr>
            <sz val="10"/>
            <color indexed="10"/>
            <rFont val="Tahoma"/>
            <family val="2"/>
          </rPr>
          <t>Enter the midpoint you want to use.</t>
        </r>
      </text>
    </comment>
    <comment ref="X1" authorId="0" shapeId="0" xr:uid="{00000000-0006-0000-0000-000005000000}">
      <text>
        <r>
          <rPr>
            <sz val="10"/>
            <color indexed="81"/>
            <rFont val="Tahoma"/>
            <family val="2"/>
          </rPr>
          <t xml:space="preserve">  This the increment for the range in column R.  This is displayed on the graphs, and you may want a different increment (especially if it goes negative.
  </t>
        </r>
        <r>
          <rPr>
            <sz val="10"/>
            <color indexed="10"/>
            <rFont val="Tahoma"/>
            <family val="2"/>
          </rPr>
          <t>Enter the increment you want to use.</t>
        </r>
      </text>
    </comment>
    <comment ref="M2" authorId="0" shapeId="0" xr:uid="{00000000-0006-0000-0000-000006000000}">
      <text>
        <r>
          <rPr>
            <sz val="10"/>
            <color indexed="81"/>
            <rFont val="Tahoma"/>
            <family val="2"/>
          </rPr>
          <t xml:space="preserve">  This will change the </t>
        </r>
        <r>
          <rPr>
            <u/>
            <sz val="10"/>
            <color indexed="81"/>
            <rFont val="Tahoma"/>
            <family val="2"/>
          </rPr>
          <t>starting point</t>
        </r>
        <r>
          <rPr>
            <sz val="10"/>
            <color indexed="81"/>
            <rFont val="Tahoma"/>
            <family val="2"/>
          </rPr>
          <t xml:space="preserve"> of the number of tree counts in cell I15.  </t>
        </r>
        <r>
          <rPr>
            <sz val="10"/>
            <color indexed="10"/>
            <rFont val="Tahoma"/>
            <family val="2"/>
          </rPr>
          <t>Enter the change you want to apply to the starting point.</t>
        </r>
      </text>
    </comment>
    <comment ref="B3" authorId="0" shapeId="0" xr:uid="{00000000-0006-0000-0000-000007000000}">
      <text>
        <r>
          <rPr>
            <sz val="10"/>
            <color indexed="81"/>
            <rFont val="Tahoma"/>
            <family val="2"/>
          </rPr>
          <t xml:space="preserve">  This is the </t>
        </r>
        <r>
          <rPr>
            <sz val="10"/>
            <color indexed="10"/>
            <rFont val="Tahoma"/>
            <family val="2"/>
          </rPr>
          <t>CV of the TREE COUNT</t>
        </r>
        <r>
          <rPr>
            <sz val="10"/>
            <color indexed="81"/>
            <rFont val="Tahoma"/>
            <family val="2"/>
          </rPr>
          <t xml:space="preserve"> </t>
        </r>
        <r>
          <rPr>
            <sz val="10"/>
            <color indexed="10"/>
            <rFont val="Tahoma"/>
            <family val="2"/>
          </rPr>
          <t>from point to point.</t>
        </r>
        <r>
          <rPr>
            <sz val="10"/>
            <color indexed="81"/>
            <rFont val="Tahoma"/>
            <family val="2"/>
          </rPr>
          <t xml:space="preserve"> 
  It can be quickly calculated using a hand calculator from past data (either for total tree count, or for tree count by species).
  In most cases, you would use the total tree count.</t>
        </r>
        <r>
          <rPr>
            <sz val="10"/>
            <color indexed="81"/>
            <rFont val="Tahoma"/>
            <family val="2"/>
          </rPr>
          <t xml:space="preserve">
</t>
        </r>
      </text>
    </comment>
    <comment ref="E3" authorId="0" shapeId="0" xr:uid="{00000000-0006-0000-0000-000008000000}">
      <text>
        <r>
          <rPr>
            <sz val="10"/>
            <color indexed="81"/>
            <rFont val="Tahoma"/>
            <family val="2"/>
          </rPr>
          <t xml:space="preserve">  Insert </t>
        </r>
        <r>
          <rPr>
            <sz val="10"/>
            <color indexed="10"/>
            <rFont val="Tahoma"/>
            <family val="2"/>
          </rPr>
          <t>cost</t>
        </r>
        <r>
          <rPr>
            <sz val="10"/>
            <color indexed="81"/>
            <rFont val="Tahoma"/>
            <family val="2"/>
          </rPr>
          <t xml:space="preserve"> for making a </t>
        </r>
        <r>
          <rPr>
            <sz val="10"/>
            <color indexed="10"/>
            <rFont val="Tahoma"/>
            <family val="2"/>
          </rPr>
          <t>tree count,</t>
        </r>
        <r>
          <rPr>
            <sz val="10"/>
            <color indexed="81"/>
            <rFont val="Tahoma"/>
            <family val="2"/>
          </rPr>
          <t xml:space="preserve"> in dollars or time.
  You </t>
        </r>
        <r>
          <rPr>
            <i/>
            <sz val="10"/>
            <color indexed="81"/>
            <rFont val="Tahoma"/>
            <family val="2"/>
          </rPr>
          <t>could</t>
        </r>
        <r>
          <rPr>
            <sz val="10"/>
            <color indexed="81"/>
            <rFont val="Tahoma"/>
            <family val="2"/>
          </rPr>
          <t xml:space="preserve"> also include the travel time between plots in this amount, but the cost of traveling the area is probably a </t>
        </r>
        <r>
          <rPr>
            <u/>
            <sz val="10"/>
            <color indexed="81"/>
            <rFont val="Tahoma"/>
            <family val="2"/>
          </rPr>
          <t>fixed</t>
        </r>
        <r>
          <rPr>
            <sz val="10"/>
            <color indexed="81"/>
            <rFont val="Tahoma"/>
            <family val="2"/>
          </rPr>
          <t xml:space="preserve"> cost, since you have to cover the area with any sampling scheme.  This is best used as the cost  just taking a </t>
        </r>
        <r>
          <rPr>
            <u/>
            <sz val="10"/>
            <color indexed="81"/>
            <rFont val="Tahoma"/>
            <family val="2"/>
          </rPr>
          <t>tree count.</t>
        </r>
      </text>
    </comment>
    <comment ref="H3" authorId="0" shapeId="0" xr:uid="{00000000-0006-0000-0000-000009000000}">
      <text>
        <r>
          <rPr>
            <sz val="10"/>
            <color indexed="81"/>
            <rFont val="Tahoma"/>
            <family val="2"/>
          </rPr>
          <t xml:space="preserve">   You can </t>
        </r>
        <r>
          <rPr>
            <sz val="10"/>
            <color indexed="10"/>
            <rFont val="Tahoma"/>
            <family val="2"/>
          </rPr>
          <t>enter up to 3 fixed costs</t>
        </r>
        <r>
          <rPr>
            <sz val="10"/>
            <color indexed="81"/>
            <rFont val="Tahoma"/>
            <family val="2"/>
          </rPr>
          <t xml:space="preserve"> (in time or dollars) which are identified individually.  These will be combined with the variable costs for counts or VBARs. 
   </t>
        </r>
        <r>
          <rPr>
            <sz val="10"/>
            <color indexed="10"/>
            <rFont val="Tahoma"/>
            <family val="2"/>
          </rPr>
          <t xml:space="preserve">To </t>
        </r>
        <r>
          <rPr>
            <u/>
            <sz val="10"/>
            <color indexed="10"/>
            <rFont val="Tahoma"/>
            <family val="2"/>
          </rPr>
          <t>clear</t>
        </r>
        <r>
          <rPr>
            <sz val="10"/>
            <color indexed="10"/>
            <rFont val="Tahoma"/>
            <family val="2"/>
          </rPr>
          <t xml:space="preserve"> these, use "delete" or just put in a </t>
        </r>
        <r>
          <rPr>
            <u/>
            <sz val="10"/>
            <color indexed="10"/>
            <rFont val="Tahoma"/>
            <family val="2"/>
          </rPr>
          <t>zero</t>
        </r>
        <r>
          <rPr>
            <u/>
            <sz val="10"/>
            <color indexed="81"/>
            <rFont val="Tahoma"/>
            <family val="2"/>
          </rPr>
          <t>,</t>
        </r>
        <r>
          <rPr>
            <sz val="10"/>
            <color indexed="81"/>
            <rFont val="Tahoma"/>
            <family val="2"/>
          </rPr>
          <t xml:space="preserve"> rather than putting in a blank, which would cause computation problems.
   This cost is considered in the </t>
        </r>
        <r>
          <rPr>
            <i/>
            <sz val="10"/>
            <color indexed="81"/>
            <rFont val="Tahoma"/>
            <family val="2"/>
          </rPr>
          <t>overall</t>
        </r>
        <r>
          <rPr>
            <sz val="10"/>
            <color indexed="81"/>
            <rFont val="Tahoma"/>
            <family val="2"/>
          </rPr>
          <t xml:space="preserve"> cost and efficiency, which is different than the </t>
        </r>
        <r>
          <rPr>
            <i/>
            <sz val="10"/>
            <color indexed="81"/>
            <rFont val="Tahoma"/>
            <family val="2"/>
          </rPr>
          <t>field</t>
        </r>
        <r>
          <rPr>
            <sz val="10"/>
            <color indexed="81"/>
            <rFont val="Tahoma"/>
            <family val="2"/>
          </rPr>
          <t xml:space="preserve"> efficiency (cost AT the plot) for the measurements. </t>
        </r>
      </text>
    </comment>
    <comment ref="I4" authorId="1" shapeId="0" xr:uid="{00000000-0006-0000-0000-00000A000000}">
      <text>
        <r>
          <rPr>
            <b/>
            <sz val="9"/>
            <color indexed="81"/>
            <rFont val="Tahoma"/>
            <family val="2"/>
          </rPr>
          <t>Kim Iles :</t>
        </r>
        <r>
          <rPr>
            <sz val="9"/>
            <color indexed="81"/>
            <rFont val="Tahoma"/>
            <family val="2"/>
          </rPr>
          <t xml:space="preserve">
</t>
        </r>
      </text>
    </comment>
    <comment ref="B5" authorId="0" shapeId="0" xr:uid="{00000000-0006-0000-0000-00000B000000}">
      <text>
        <r>
          <rPr>
            <b/>
            <sz val="10"/>
            <color indexed="10"/>
            <rFont val="Tahoma"/>
            <family val="2"/>
          </rPr>
          <t>This is the CV of the *BAR ratio.</t>
        </r>
        <r>
          <rPr>
            <sz val="10"/>
            <color indexed="81"/>
            <rFont val="Tahoma"/>
            <family val="2"/>
          </rPr>
          <t xml:space="preserve">
  In most cases, this ratio will be the </t>
        </r>
        <r>
          <rPr>
            <sz val="10"/>
            <color indexed="10"/>
            <rFont val="Tahoma"/>
            <family val="2"/>
          </rPr>
          <t>tree Volume</t>
        </r>
        <r>
          <rPr>
            <sz val="10"/>
            <color indexed="81"/>
            <rFont val="Tahoma"/>
            <family val="2"/>
          </rPr>
          <t xml:space="preserve"> divided by the </t>
        </r>
        <r>
          <rPr>
            <sz val="10"/>
            <color indexed="10"/>
            <rFont val="Tahoma"/>
            <family val="2"/>
          </rPr>
          <t>Basal Area</t>
        </r>
        <r>
          <rPr>
            <sz val="10"/>
            <color indexed="81"/>
            <rFont val="Tahoma"/>
            <family val="2"/>
          </rPr>
          <t xml:space="preserve"> for trees in your Variable Plot sample.
       [  </t>
        </r>
        <r>
          <rPr>
            <u/>
            <sz val="10"/>
            <color indexed="81"/>
            <rFont val="Tahoma"/>
            <family val="2"/>
          </rPr>
          <t>roughly,</t>
        </r>
        <r>
          <rPr>
            <sz val="10"/>
            <color indexed="81"/>
            <rFont val="Tahoma"/>
            <family val="2"/>
          </rPr>
          <t xml:space="preserve"> for </t>
        </r>
        <r>
          <rPr>
            <i/>
            <sz val="10"/>
            <color indexed="81"/>
            <rFont val="Tahoma"/>
            <family val="2"/>
          </rPr>
          <t>gross</t>
        </r>
        <r>
          <rPr>
            <sz val="10"/>
            <color indexed="81"/>
            <rFont val="Tahoma"/>
            <family val="2"/>
          </rPr>
          <t xml:space="preserve"> VBAR, use CV of tree height, and 
          for </t>
        </r>
        <r>
          <rPr>
            <i/>
            <sz val="10"/>
            <color indexed="81"/>
            <rFont val="Tahoma"/>
            <family val="2"/>
          </rPr>
          <t>Net</t>
        </r>
        <r>
          <rPr>
            <sz val="10"/>
            <color indexed="81"/>
            <rFont val="Tahoma"/>
            <family val="2"/>
          </rPr>
          <t xml:space="preserve"> VBAR, use CV of {tree height * % sound}   ]
Since </t>
        </r>
        <r>
          <rPr>
            <i/>
            <sz val="10"/>
            <color indexed="81"/>
            <rFont val="Tahoma"/>
            <family val="2"/>
          </rPr>
          <t>many</t>
        </r>
        <r>
          <rPr>
            <sz val="10"/>
            <color indexed="81"/>
            <rFont val="Tahoma"/>
            <family val="2"/>
          </rPr>
          <t xml:space="preserve"> items could be divided by the BA, I use the general term "</t>
        </r>
        <r>
          <rPr>
            <b/>
            <sz val="10"/>
            <color indexed="10"/>
            <rFont val="Tahoma"/>
            <family val="2"/>
          </rPr>
          <t>*</t>
        </r>
        <r>
          <rPr>
            <sz val="10"/>
            <color indexed="81"/>
            <rFont val="Tahoma"/>
            <family val="2"/>
          </rPr>
          <t xml:space="preserve">BAR".
  You might also want to use the </t>
        </r>
        <r>
          <rPr>
            <sz val="10"/>
            <color indexed="10"/>
            <rFont val="Tahoma"/>
            <family val="2"/>
          </rPr>
          <t>Dollar value</t>
        </r>
        <r>
          <rPr>
            <sz val="10"/>
            <color indexed="81"/>
            <rFont val="Tahoma"/>
            <family val="2"/>
          </rPr>
          <t xml:space="preserve"> divided by the BA of the tree (called $BAR).  Entering this, you can compute the most efficient cruise for stand </t>
        </r>
        <r>
          <rPr>
            <sz val="10"/>
            <color indexed="10"/>
            <rFont val="Tahoma"/>
            <family val="2"/>
          </rPr>
          <t>value</t>
        </r>
        <r>
          <rPr>
            <sz val="10"/>
            <color indexed="81"/>
            <rFont val="Tahoma"/>
            <family val="2"/>
          </rPr>
          <t xml:space="preserve">.  This avoids the complexity of trying to work with the grades of logs, by combining them into a single number that reflects tree value (the main issue with grades anyway).
--------------------------------------
   If you choose to measure </t>
        </r>
        <r>
          <rPr>
            <sz val="10"/>
            <color indexed="10"/>
            <rFont val="Tahoma"/>
            <family val="2"/>
          </rPr>
          <t>all</t>
        </r>
        <r>
          <rPr>
            <sz val="10"/>
            <color indexed="81"/>
            <rFont val="Tahoma"/>
            <family val="2"/>
          </rPr>
          <t xml:space="preserve"> the trees at </t>
        </r>
        <r>
          <rPr>
            <sz val="10"/>
            <color indexed="10"/>
            <rFont val="Tahoma"/>
            <family val="2"/>
          </rPr>
          <t>some</t>
        </r>
        <r>
          <rPr>
            <sz val="10"/>
            <color indexed="81"/>
            <rFont val="Tahoma"/>
            <family val="2"/>
          </rPr>
          <t xml:space="preserve"> </t>
        </r>
        <r>
          <rPr>
            <sz val="10"/>
            <color indexed="10"/>
            <rFont val="Tahoma"/>
            <family val="2"/>
          </rPr>
          <t>sample points,</t>
        </r>
        <r>
          <rPr>
            <sz val="10"/>
            <color indexed="81"/>
            <rFont val="Tahoma"/>
            <family val="2"/>
          </rPr>
          <t xml:space="preserve"> you </t>
        </r>
        <r>
          <rPr>
            <u/>
            <sz val="10"/>
            <color indexed="81"/>
            <rFont val="Tahoma"/>
            <family val="2"/>
          </rPr>
          <t>could</t>
        </r>
        <r>
          <rPr>
            <sz val="10"/>
            <color indexed="81"/>
            <rFont val="Tahoma"/>
            <family val="2"/>
          </rPr>
          <t xml:space="preserve"> enter the CV (and cost) of the </t>
        </r>
        <r>
          <rPr>
            <u/>
            <sz val="10"/>
            <color indexed="81"/>
            <rFont val="Tahoma"/>
            <family val="2"/>
          </rPr>
          <t>average</t>
        </r>
        <r>
          <rPr>
            <sz val="10"/>
            <color indexed="81"/>
            <rFont val="Tahoma"/>
            <family val="2"/>
          </rPr>
          <t xml:space="preserve"> *BAR at each point for ALL trees at the point, and thereby calculate the number of fully measured sample points.
 </t>
        </r>
        <r>
          <rPr>
            <sz val="10"/>
            <color indexed="10"/>
            <rFont val="Tahoma"/>
            <family val="2"/>
          </rPr>
          <t xml:space="preserve">  For practical purposes,</t>
        </r>
        <r>
          <rPr>
            <sz val="10"/>
            <color indexed="81"/>
            <rFont val="Tahoma"/>
            <family val="2"/>
          </rPr>
          <t xml:space="preserve"> most people compute the </t>
        </r>
        <r>
          <rPr>
            <i/>
            <sz val="10"/>
            <color indexed="81"/>
            <rFont val="Tahoma"/>
            <family val="2"/>
          </rPr>
          <t xml:space="preserve">number of trees </t>
        </r>
        <r>
          <rPr>
            <sz val="10"/>
            <color indexed="81"/>
            <rFont val="Tahoma"/>
            <family val="2"/>
          </rPr>
          <t>using the</t>
        </r>
        <r>
          <rPr>
            <i/>
            <sz val="10"/>
            <color indexed="81"/>
            <rFont val="Tahoma"/>
            <family val="2"/>
          </rPr>
          <t xml:space="preserve"> individual tree VBAR,</t>
        </r>
        <r>
          <rPr>
            <sz val="10"/>
            <color indexed="81"/>
            <rFont val="Tahoma"/>
            <family val="2"/>
          </rPr>
          <t xml:space="preserve"> </t>
        </r>
        <r>
          <rPr>
            <i/>
            <sz val="10"/>
            <color indexed="81"/>
            <rFont val="Tahoma"/>
            <family val="2"/>
          </rPr>
          <t>then divide that by the average number of trees/point</t>
        </r>
        <r>
          <rPr>
            <sz val="10"/>
            <color indexed="81"/>
            <rFont val="Tahoma"/>
            <family val="2"/>
          </rPr>
          <t xml:space="preserve"> to find the number of points where you measure </t>
        </r>
        <r>
          <rPr>
            <i/>
            <sz val="10"/>
            <color indexed="81"/>
            <rFont val="Tahoma"/>
            <family val="2"/>
          </rPr>
          <t>all</t>
        </r>
        <r>
          <rPr>
            <sz val="10"/>
            <color indexed="81"/>
            <rFont val="Tahoma"/>
            <family val="2"/>
          </rPr>
          <t xml:space="preserve"> the trees.  This is not as efficient as spreading the trees throughout the stand (using a second BAF or random selection, for instance).  There is usually a way to work the computer program which will allow you to use  "distributed VBARs" gathered in this way.  </t>
        </r>
      </text>
    </comment>
    <comment ref="E5" authorId="0" shapeId="0" xr:uid="{00000000-0006-0000-0000-00000C000000}">
      <text>
        <r>
          <rPr>
            <sz val="10"/>
            <color indexed="81"/>
            <rFont val="Arial"/>
            <family val="2"/>
          </rPr>
          <t xml:space="preserve">  Insert </t>
        </r>
        <r>
          <rPr>
            <sz val="10"/>
            <color indexed="10"/>
            <rFont val="Arial"/>
            <family val="2"/>
          </rPr>
          <t>cost</t>
        </r>
        <r>
          <rPr>
            <sz val="10"/>
            <color indexed="81"/>
            <rFont val="Arial"/>
            <family val="2"/>
          </rPr>
          <t xml:space="preserve"> </t>
        </r>
        <r>
          <rPr>
            <sz val="10"/>
            <color indexed="10"/>
            <rFont val="Arial"/>
            <family val="2"/>
          </rPr>
          <t>of measuring a tree,</t>
        </r>
        <r>
          <rPr>
            <sz val="10"/>
            <color indexed="81"/>
            <rFont val="Arial"/>
            <family val="2"/>
          </rPr>
          <t xml:space="preserve"> in </t>
        </r>
        <r>
          <rPr>
            <sz val="10"/>
            <color indexed="10"/>
            <rFont val="Arial"/>
            <family val="2"/>
          </rPr>
          <t>dollars or time.</t>
        </r>
        <r>
          <rPr>
            <sz val="10"/>
            <color indexed="81"/>
            <rFont val="Arial"/>
            <family val="2"/>
          </rPr>
          <t xml:space="preserve">  The computation will then favor "cheaper" measurements.
  </t>
        </r>
        <r>
          <rPr>
            <sz val="8"/>
            <color indexed="81"/>
            <rFont val="Arial"/>
            <family val="2"/>
          </rPr>
          <t xml:space="preserve"> </t>
        </r>
        <r>
          <rPr>
            <sz val="8"/>
            <color indexed="10"/>
            <rFont val="Arial"/>
            <family val="2"/>
          </rPr>
          <t>If</t>
        </r>
        <r>
          <rPr>
            <sz val="8"/>
            <color indexed="81"/>
            <rFont val="Arial"/>
            <family val="2"/>
          </rPr>
          <t xml:space="preserve"> you entered the CV of the </t>
        </r>
        <r>
          <rPr>
            <sz val="8"/>
            <color indexed="10"/>
            <rFont val="Arial"/>
            <family val="2"/>
          </rPr>
          <t>average</t>
        </r>
        <r>
          <rPr>
            <sz val="8"/>
            <color indexed="81"/>
            <rFont val="Arial"/>
            <family val="2"/>
          </rPr>
          <t xml:space="preserve"> VBAR in a cluster (and I would not), this is the average cost of measuring </t>
        </r>
        <r>
          <rPr>
            <sz val="8"/>
            <color indexed="10"/>
            <rFont val="Arial"/>
            <family val="2"/>
          </rPr>
          <t>all</t>
        </r>
        <r>
          <rPr>
            <sz val="8"/>
            <color indexed="81"/>
            <rFont val="Arial"/>
            <family val="2"/>
          </rPr>
          <t xml:space="preserve"> the trees in a cluster.</t>
        </r>
      </text>
    </comment>
    <comment ref="D7" authorId="0" shapeId="0" xr:uid="{00000000-0006-0000-0000-00000D000000}">
      <text>
        <r>
          <rPr>
            <sz val="10"/>
            <color indexed="81"/>
            <rFont val="Tahoma"/>
            <family val="2"/>
          </rPr>
          <t xml:space="preserve">  This is the </t>
        </r>
        <r>
          <rPr>
            <u/>
            <sz val="10"/>
            <color indexed="10"/>
            <rFont val="Tahoma"/>
            <family val="2"/>
          </rPr>
          <t>ratio</t>
        </r>
        <r>
          <rPr>
            <sz val="10"/>
            <color indexed="10"/>
            <rFont val="Tahoma"/>
            <family val="2"/>
          </rPr>
          <t xml:space="preserve"> of tree counts</t>
        </r>
        <r>
          <rPr>
            <sz val="10"/>
            <color indexed="81"/>
            <rFont val="Tahoma"/>
            <family val="2"/>
          </rPr>
          <t xml:space="preserve"> made at sample points </t>
        </r>
        <r>
          <rPr>
            <sz val="10"/>
            <color indexed="10"/>
            <rFont val="Tahoma"/>
            <family val="2"/>
          </rPr>
          <t>to *BAR measurements (usually trees)</t>
        </r>
        <r>
          <rPr>
            <sz val="10"/>
            <color indexed="81"/>
            <rFont val="Tahoma"/>
            <family val="2"/>
          </rPr>
          <t xml:space="preserve"> taken.</t>
        </r>
      </text>
    </comment>
    <comment ref="H8" authorId="2" shapeId="0" xr:uid="{00000000-0006-0000-0000-00000E000000}">
      <text>
        <r>
          <rPr>
            <sz val="10"/>
            <color indexed="81"/>
            <rFont val="Tahoma"/>
            <family val="2"/>
          </rPr>
          <t xml:space="preserve">    With the average tree count in cell I15, use a BAF this many </t>
        </r>
        <r>
          <rPr>
            <sz val="10"/>
            <color indexed="10"/>
            <rFont val="Tahoma"/>
            <family val="2"/>
          </rPr>
          <t>times</t>
        </r>
        <r>
          <rPr>
            <sz val="10"/>
            <color indexed="81"/>
            <rFont val="Tahoma"/>
            <family val="2"/>
          </rPr>
          <t xml:space="preserve"> larger than the one for counting trees and you will automatically end up with about the right number of measured trees.
   The advantage is that the trees will be spread throughout the stand, rather than in clumps.  This is called the "Big BAF method" of selecting measured trees.</t>
        </r>
      </text>
    </comment>
    <comment ref="D9" authorId="0" shapeId="0" xr:uid="{00000000-0006-0000-0000-00000F000000}">
      <text>
        <r>
          <rPr>
            <sz val="10"/>
            <color indexed="81"/>
            <rFont val="Tahoma"/>
            <family val="2"/>
          </rPr>
          <t xml:space="preserve">   This is </t>
        </r>
        <r>
          <rPr>
            <b/>
            <sz val="10"/>
            <color indexed="81"/>
            <rFont val="Tahoma"/>
            <family val="2"/>
          </rPr>
          <t>"</t>
        </r>
        <r>
          <rPr>
            <b/>
            <sz val="10"/>
            <color indexed="10"/>
            <rFont val="Tahoma"/>
            <family val="2"/>
          </rPr>
          <t>ONE</t>
        </r>
        <r>
          <rPr>
            <sz val="10"/>
            <color indexed="10"/>
            <rFont val="Tahoma"/>
            <family val="2"/>
          </rPr>
          <t xml:space="preserve"> Standard Error</t>
        </r>
        <r>
          <rPr>
            <sz val="10"/>
            <color indexed="81"/>
            <rFont val="Tahoma"/>
            <family val="2"/>
          </rPr>
          <t>" in percent.  If the total error% is 7% for 95% confidence (t=2), this would be entered as 3.5% in cell D9.</t>
        </r>
        <r>
          <rPr>
            <sz val="10"/>
            <color indexed="81"/>
            <rFont val="Tahoma"/>
            <family val="2"/>
          </rPr>
          <t xml:space="preserve">
</t>
        </r>
      </text>
    </comment>
    <comment ref="H9" authorId="3" shapeId="0" xr:uid="{00000000-0006-0000-0000-000010000000}">
      <text>
        <r>
          <rPr>
            <sz val="10"/>
            <color indexed="81"/>
            <rFont val="Tahoma"/>
            <family val="2"/>
          </rPr>
          <t xml:space="preserve">  These gold cells are unprotected so you can record </t>
        </r>
        <r>
          <rPr>
            <sz val="10"/>
            <color indexed="10"/>
            <rFont val="Tahoma"/>
            <family val="2"/>
          </rPr>
          <t>comments</t>
        </r>
        <r>
          <rPr>
            <sz val="10"/>
            <color indexed="81"/>
            <rFont val="Tahoma"/>
            <family val="2"/>
          </rPr>
          <t xml:space="preserve"> or </t>
        </r>
        <r>
          <rPr>
            <sz val="10"/>
            <color indexed="10"/>
            <rFont val="Tahoma"/>
            <family val="2"/>
          </rPr>
          <t>calculations</t>
        </r>
        <r>
          <rPr>
            <sz val="10"/>
            <color indexed="81"/>
            <rFont val="Tahoma"/>
            <family val="2"/>
          </rPr>
          <t xml:space="preserve"> of interest to the data entered.
  These comments will be printed with the data if you print the section that copies these results at the bottom of the spreadsheet (line 115, for instance).
</t>
        </r>
      </text>
    </comment>
    <comment ref="C11" authorId="0" shapeId="0" xr:uid="{00000000-0006-0000-0000-000011000000}">
      <text>
        <r>
          <rPr>
            <sz val="10"/>
            <color indexed="81"/>
            <rFont val="Tahoma"/>
            <family val="2"/>
          </rPr>
          <t xml:space="preserve">  This is the </t>
        </r>
        <r>
          <rPr>
            <sz val="10"/>
            <color indexed="10"/>
            <rFont val="Tahoma"/>
            <family val="2"/>
          </rPr>
          <t>number of points</t>
        </r>
        <r>
          <rPr>
            <sz val="10"/>
            <color indexed="81"/>
            <rFont val="Tahoma"/>
            <family val="2"/>
          </rPr>
          <t xml:space="preserve"> you should visit and make a tree count.</t>
        </r>
      </text>
    </comment>
    <comment ref="E11" authorId="0" shapeId="0" xr:uid="{00000000-0006-0000-0000-000012000000}">
      <text>
        <r>
          <rPr>
            <sz val="10"/>
            <color indexed="81"/>
            <rFont val="Tahoma"/>
            <family val="2"/>
          </rPr>
          <t xml:space="preserve">  </t>
        </r>
        <r>
          <rPr>
            <sz val="10"/>
            <color indexed="12"/>
            <rFont val="Tahoma"/>
            <family val="2"/>
          </rPr>
          <t xml:space="preserve"> This is the calculated</t>
        </r>
        <r>
          <rPr>
            <sz val="10"/>
            <color indexed="81"/>
            <rFont val="Tahoma"/>
            <family val="2"/>
          </rPr>
          <t xml:space="preserve"> </t>
        </r>
        <r>
          <rPr>
            <sz val="10"/>
            <color indexed="10"/>
            <rFont val="Tahoma"/>
            <family val="2"/>
          </rPr>
          <t xml:space="preserve">SE% for the </t>
        </r>
        <r>
          <rPr>
            <u/>
            <sz val="10"/>
            <color indexed="10"/>
            <rFont val="Tahoma"/>
            <family val="2"/>
          </rPr>
          <t>basal area</t>
        </r>
        <r>
          <rPr>
            <sz val="10"/>
            <color indexed="10"/>
            <rFont val="Tahoma"/>
            <family val="2"/>
          </rPr>
          <t xml:space="preserve"> (or tree count) </t>
        </r>
        <r>
          <rPr>
            <sz val="10"/>
            <color indexed="12"/>
            <rFont val="Tahoma"/>
            <family val="2"/>
          </rPr>
          <t>using this number of sample points.  
   It is balanced with the number of VBAR measurements in order to minimize overall cost.</t>
        </r>
      </text>
    </comment>
    <comment ref="G11" authorId="0" shapeId="0" xr:uid="{00000000-0006-0000-0000-000013000000}">
      <text>
        <r>
          <rPr>
            <sz val="10"/>
            <color indexed="81"/>
            <rFont val="Tahoma"/>
            <family val="2"/>
          </rPr>
          <t xml:space="preserve">  This is the </t>
        </r>
        <r>
          <rPr>
            <sz val="10"/>
            <color indexed="10"/>
            <rFont val="Tahoma"/>
            <family val="2"/>
          </rPr>
          <t>total cost</t>
        </r>
        <r>
          <rPr>
            <sz val="10"/>
            <color indexed="81"/>
            <rFont val="Tahoma"/>
            <family val="2"/>
          </rPr>
          <t xml:space="preserve"> of the optimized "count vs. measure" ratio, including the fixed costs, </t>
        </r>
        <r>
          <rPr>
            <sz val="10"/>
            <color indexed="10"/>
            <rFont val="Tahoma"/>
            <family val="2"/>
          </rPr>
          <t>to provide you the SE% you required.</t>
        </r>
        <r>
          <rPr>
            <sz val="10"/>
            <color indexed="81"/>
            <rFont val="Tahoma"/>
            <family val="2"/>
          </rPr>
          <t xml:space="preserve">
  If you want to add extra plots (or try a different ratio of count vs. measure plots) it gives you a reference for the efficiency for the other alternatives.</t>
        </r>
      </text>
    </comment>
    <comment ref="I11" authorId="0" shapeId="0" xr:uid="{00000000-0006-0000-0000-000014000000}">
      <text>
        <r>
          <rPr>
            <sz val="10"/>
            <color indexed="81"/>
            <rFont val="Tahoma"/>
            <family val="2"/>
          </rPr>
          <t xml:space="preserve">This is the </t>
        </r>
        <r>
          <rPr>
            <sz val="10"/>
            <color indexed="10"/>
            <rFont val="Tahoma"/>
            <family val="2"/>
          </rPr>
          <t>cost per sample point.</t>
        </r>
        <r>
          <rPr>
            <sz val="10"/>
            <color indexed="81"/>
            <rFont val="Tahoma"/>
            <family val="2"/>
          </rPr>
          <t xml:space="preserve">  It is simply the total cost divided by the number of sample points visited.</t>
        </r>
      </text>
    </comment>
    <comment ref="C12" authorId="0" shapeId="0" xr:uid="{00000000-0006-0000-0000-000015000000}">
      <text>
        <r>
          <rPr>
            <sz val="10"/>
            <color indexed="81"/>
            <rFont val="Tahoma"/>
            <family val="2"/>
          </rPr>
          <t xml:space="preserve">   This is the </t>
        </r>
        <r>
          <rPr>
            <sz val="10"/>
            <color indexed="10"/>
            <rFont val="Tahoma"/>
            <family val="2"/>
          </rPr>
          <t xml:space="preserve">number of *BAR </t>
        </r>
        <r>
          <rPr>
            <u/>
            <sz val="10"/>
            <color indexed="10"/>
            <rFont val="Tahoma"/>
            <family val="2"/>
          </rPr>
          <t>measurements</t>
        </r>
        <r>
          <rPr>
            <sz val="10"/>
            <color indexed="81"/>
            <rFont val="Tahoma"/>
            <family val="2"/>
          </rPr>
          <t xml:space="preserve"> you should take for optimal efficiency.
</t>
        </r>
        <r>
          <rPr>
            <sz val="10"/>
            <color indexed="10"/>
            <rFont val="Tahoma"/>
            <family val="2"/>
          </rPr>
          <t xml:space="preserve">   Normally this is the number of </t>
        </r>
        <r>
          <rPr>
            <u/>
            <sz val="10"/>
            <color indexed="10"/>
            <rFont val="Tahoma"/>
            <family val="2"/>
          </rPr>
          <t>trees</t>
        </r>
        <r>
          <rPr>
            <sz val="10"/>
            <color indexed="10"/>
            <rFont val="Tahoma"/>
            <family val="2"/>
          </rPr>
          <t xml:space="preserve"> to measure.</t>
        </r>
        <r>
          <rPr>
            <sz val="10"/>
            <color indexed="81"/>
            <rFont val="Tahoma"/>
            <family val="2"/>
          </rPr>
          <t xml:space="preserve"> 
------------------------------------
</t>
        </r>
        <r>
          <rPr>
            <sz val="10"/>
            <color indexed="12"/>
            <rFont val="Tahoma"/>
            <family val="2"/>
          </rPr>
          <t xml:space="preserve">  I suggest the use of</t>
        </r>
        <r>
          <rPr>
            <sz val="10"/>
            <color indexed="10"/>
            <rFont val="Tahoma"/>
            <family val="2"/>
          </rPr>
          <t xml:space="preserve"> "distributed VBARs" </t>
        </r>
        <r>
          <rPr>
            <sz val="10"/>
            <color indexed="12"/>
            <rFont val="Tahoma"/>
            <family val="2"/>
          </rPr>
          <t xml:space="preserve">where you spread the measurements throughout the stand using a larger BAF (rather than put them all in a few clusters).  This is a personal choice, and the compilation routine must be able to handle that (and can usually be tricked into doing so).  </t>
        </r>
        <r>
          <rPr>
            <b/>
            <sz val="10"/>
            <color indexed="12"/>
            <rFont val="Tahoma"/>
            <family val="2"/>
          </rPr>
          <t>Cell I8</t>
        </r>
        <r>
          <rPr>
            <sz val="10"/>
            <color indexed="12"/>
            <rFont val="Tahoma"/>
            <family val="2"/>
          </rPr>
          <t xml:space="preserve"> gives you a multiplier for the tree counting BAF that will give a second BAF that will select the right number of measure trees.  You could also measure trees as a random percentage of counted trees.
--------------------------------------
  It </t>
        </r>
        <r>
          <rPr>
            <u/>
            <sz val="10"/>
            <color indexed="12"/>
            <rFont val="Tahoma"/>
            <family val="2"/>
          </rPr>
          <t>could</t>
        </r>
        <r>
          <rPr>
            <sz val="10"/>
            <color indexed="12"/>
            <rFont val="Tahoma"/>
            <family val="2"/>
          </rPr>
          <t xml:space="preserve"> also be the number of fully measured sample points, </t>
        </r>
        <r>
          <rPr>
            <u val="double"/>
            <sz val="10"/>
            <color indexed="12"/>
            <rFont val="Tahoma"/>
            <family val="2"/>
          </rPr>
          <t>if</t>
        </r>
        <r>
          <rPr>
            <u/>
            <sz val="10"/>
            <color indexed="12"/>
            <rFont val="Tahoma"/>
            <family val="2"/>
          </rPr>
          <t xml:space="preserve"> you entered the CV of the </t>
        </r>
        <r>
          <rPr>
            <i/>
            <u/>
            <sz val="10"/>
            <color indexed="12"/>
            <rFont val="Tahoma"/>
            <family val="2"/>
          </rPr>
          <t>average</t>
        </r>
        <r>
          <rPr>
            <u/>
            <sz val="10"/>
            <color indexed="12"/>
            <rFont val="Tahoma"/>
            <family val="2"/>
          </rPr>
          <t xml:space="preserve"> *BAR of a cluster of trees</t>
        </r>
        <r>
          <rPr>
            <sz val="10"/>
            <color indexed="12"/>
            <rFont val="Tahoma"/>
            <family val="2"/>
          </rPr>
          <t xml:space="preserve"> in cell C5.  
</t>
        </r>
      </text>
    </comment>
    <comment ref="E12" authorId="0" shapeId="0" xr:uid="{00000000-0006-0000-0000-000016000000}">
      <text>
        <r>
          <rPr>
            <sz val="10"/>
            <color indexed="81"/>
            <rFont val="Tahoma"/>
            <family val="2"/>
          </rPr>
          <t xml:space="preserve">   This is the calculated </t>
        </r>
        <r>
          <rPr>
            <sz val="10"/>
            <color indexed="10"/>
            <rFont val="Tahoma"/>
            <family val="2"/>
          </rPr>
          <t xml:space="preserve">SE% for the </t>
        </r>
        <r>
          <rPr>
            <u/>
            <sz val="10"/>
            <color indexed="10"/>
            <rFont val="Tahoma"/>
            <family val="2"/>
          </rPr>
          <t>*BAR</t>
        </r>
        <r>
          <rPr>
            <sz val="10"/>
            <color indexed="10"/>
            <rFont val="Tahoma"/>
            <family val="2"/>
          </rPr>
          <t xml:space="preserve"> measurements</t>
        </r>
        <r>
          <rPr>
            <sz val="10"/>
            <color indexed="81"/>
            <rFont val="Tahoma"/>
            <family val="2"/>
          </rPr>
          <t xml:space="preserve"> with this number of measured items (usually trees).  
   It is balanced with the number of </t>
        </r>
        <r>
          <rPr>
            <i/>
            <sz val="10"/>
            <color indexed="81"/>
            <rFont val="Tahoma"/>
            <family val="2"/>
          </rPr>
          <t>tree counts</t>
        </r>
        <r>
          <rPr>
            <sz val="10"/>
            <color indexed="81"/>
            <rFont val="Tahoma"/>
            <family val="2"/>
          </rPr>
          <t xml:space="preserve"> in order to minimize overall cost.</t>
        </r>
      </text>
    </comment>
    <comment ref="I12" authorId="0" shapeId="0" xr:uid="{00000000-0006-0000-0000-000017000000}">
      <text>
        <r>
          <rPr>
            <sz val="10"/>
            <color indexed="81"/>
            <rFont val="Tahoma"/>
            <family val="2"/>
          </rPr>
          <t xml:space="preserve">  There is not really </t>
        </r>
        <r>
          <rPr>
            <i/>
            <sz val="10"/>
            <color indexed="81"/>
            <rFont val="Tahoma"/>
            <family val="2"/>
          </rPr>
          <t>one</t>
        </r>
        <r>
          <rPr>
            <sz val="10"/>
            <color indexed="81"/>
            <rFont val="Tahoma"/>
            <family val="2"/>
          </rPr>
          <t xml:space="preserve"> CV for Variable Plot sampling when you use count and measure plots, because the variability depends on the ratio of Count:Measure plots.
  </t>
        </r>
        <r>
          <rPr>
            <sz val="10"/>
            <color indexed="10"/>
            <rFont val="Tahoma"/>
            <family val="2"/>
          </rPr>
          <t>If you want a reasonable approximation to the CV,</t>
        </r>
        <r>
          <rPr>
            <sz val="10"/>
            <color indexed="81"/>
            <rFont val="Tahoma"/>
            <family val="2"/>
          </rPr>
          <t xml:space="preserve"> </t>
        </r>
        <r>
          <rPr>
            <u/>
            <sz val="10"/>
            <color indexed="81"/>
            <rFont val="Tahoma"/>
            <family val="2"/>
          </rPr>
          <t>using the optimium ratio,</t>
        </r>
        <r>
          <rPr>
            <sz val="10"/>
            <color indexed="81"/>
            <rFont val="Tahoma"/>
            <family val="2"/>
          </rPr>
          <t xml:space="preserve"> then this is a good one.
  If you want to calculate some other sample size, this CV can be plugged into the standard equations where "n" is the number of count plots.</t>
        </r>
      </text>
    </comment>
    <comment ref="B13" authorId="2" shapeId="0" xr:uid="{00000000-0006-0000-0000-000018000000}">
      <text>
        <r>
          <rPr>
            <sz val="10"/>
            <color indexed="81"/>
            <rFont val="Tahoma"/>
            <family val="2"/>
          </rPr>
          <t xml:space="preserve">  Add any notes you want on this long line, starting in cell C13.  It will print when you copy the entire section.
</t>
        </r>
      </text>
    </comment>
    <comment ref="A14" authorId="0" shapeId="0" xr:uid="{00000000-0006-0000-0000-000019000000}">
      <text>
        <r>
          <rPr>
            <sz val="10"/>
            <color indexed="81"/>
            <rFont val="Tahoma"/>
            <family val="2"/>
          </rPr>
          <t xml:space="preserve">  In this Section (with the light green background) you can </t>
        </r>
        <r>
          <rPr>
            <sz val="10"/>
            <color indexed="10"/>
            <rFont val="Tahoma"/>
            <family val="2"/>
          </rPr>
          <t>test</t>
        </r>
        <r>
          <rPr>
            <sz val="10"/>
            <color indexed="81"/>
            <rFont val="Tahoma"/>
            <family val="2"/>
          </rPr>
          <t xml:space="preserve"> </t>
        </r>
        <r>
          <rPr>
            <sz val="10"/>
            <color indexed="10"/>
            <rFont val="Tahoma"/>
            <family val="2"/>
          </rPr>
          <t>other Combinations</t>
        </r>
        <r>
          <rPr>
            <sz val="10"/>
            <color indexed="81"/>
            <rFont val="Tahoma"/>
            <family val="2"/>
          </rPr>
          <t xml:space="preserve"> of points and measurements.
  </t>
        </r>
        <r>
          <rPr>
            <sz val="10"/>
            <color indexed="10"/>
            <rFont val="Tahoma"/>
            <family val="2"/>
          </rPr>
          <t xml:space="preserve">The program will compute the Overall  SE%, and the efficiency of your ratio of counts and tree measurents  There is </t>
        </r>
        <r>
          <rPr>
            <u/>
            <sz val="10"/>
            <color indexed="10"/>
            <rFont val="Tahoma"/>
            <family val="2"/>
          </rPr>
          <t>nothing wrong</t>
        </r>
        <r>
          <rPr>
            <sz val="10"/>
            <color indexed="10"/>
            <rFont val="Tahoma"/>
            <family val="2"/>
          </rPr>
          <t xml:space="preserve"> with making </t>
        </r>
        <r>
          <rPr>
            <u/>
            <sz val="10"/>
            <color indexed="10"/>
            <rFont val="Tahoma"/>
            <family val="2"/>
          </rPr>
          <t>any</t>
        </r>
        <r>
          <rPr>
            <sz val="10"/>
            <color indexed="10"/>
            <rFont val="Tahoma"/>
            <family val="2"/>
          </rPr>
          <t xml:space="preserve"> choice here - it is only a question of efficiency.</t>
        </r>
      </text>
    </comment>
    <comment ref="H14" authorId="4" shapeId="0" xr:uid="{00000000-0006-0000-0000-00001A000000}">
      <text>
        <r>
          <rPr>
            <sz val="10"/>
            <color indexed="81"/>
            <rFont val="Tahoma"/>
            <family val="2"/>
          </rPr>
          <t>This is the BAF multiplier using the information in C15 &amp; 16.  It will provide the right ratio of count plots</t>
        </r>
      </text>
    </comment>
    <comment ref="I14" authorId="0" shapeId="0" xr:uid="{00000000-0006-0000-0000-00001B000000}">
      <text>
        <r>
          <rPr>
            <sz val="10"/>
            <color indexed="81"/>
            <rFont val="Tahoma"/>
            <family val="2"/>
          </rPr>
          <t xml:space="preserve">   If you use one BAF for counting the trees, and another one for choosing the ones to be measured, </t>
        </r>
        <r>
          <rPr>
            <sz val="10"/>
            <color indexed="10"/>
            <rFont val="Tahoma"/>
            <family val="2"/>
          </rPr>
          <t>this is how much larger the second BAF must be for choosing trees.</t>
        </r>
        <r>
          <rPr>
            <sz val="10"/>
            <color indexed="81"/>
            <rFont val="Tahoma"/>
            <family val="2"/>
          </rPr>
          <t xml:space="preserve">  It uses the number of *BAR's you intend to take from cell C16 (these will be individual trees, in this case), plus the average tree count in cell I15 to compute a value.
   If you count with a 20, then (20*multiplier) is the BAF that will produce the desired ratio of measured trees.  If you are choosing trees randomly, then choose (1/multipler) of the count trees.</t>
        </r>
      </text>
    </comment>
    <comment ref="B15" authorId="0" shapeId="0" xr:uid="{00000000-0006-0000-0000-00001C000000}">
      <text>
        <r>
          <rPr>
            <sz val="10"/>
            <color indexed="81"/>
            <rFont val="Tahoma"/>
            <family val="2"/>
          </rPr>
          <t xml:space="preserve">  In this cell enter the </t>
        </r>
        <r>
          <rPr>
            <sz val="10"/>
            <color indexed="10"/>
            <rFont val="Tahoma"/>
            <family val="2"/>
          </rPr>
          <t>number of points</t>
        </r>
        <r>
          <rPr>
            <sz val="10"/>
            <color indexed="81"/>
            <rFont val="Tahoma"/>
            <family val="2"/>
          </rPr>
          <t xml:space="preserve"> where you intend to do tree counts.</t>
        </r>
      </text>
    </comment>
    <comment ref="D15" authorId="0" shapeId="0" xr:uid="{00000000-0006-0000-0000-00001D000000}">
      <text>
        <r>
          <rPr>
            <sz val="10"/>
            <color indexed="81"/>
            <rFont val="Tahoma"/>
            <family val="2"/>
          </rPr>
          <t xml:space="preserve">    The small numbers in italics are the </t>
        </r>
        <r>
          <rPr>
            <sz val="10"/>
            <color indexed="10"/>
            <rFont val="Tahoma"/>
            <family val="2"/>
          </rPr>
          <t>numbers needed to get the desired SE%</t>
        </r>
        <r>
          <rPr>
            <sz val="10"/>
            <color indexed="81"/>
            <rFont val="Tahoma"/>
            <family val="2"/>
          </rPr>
          <t xml:space="preserve"> you entered in section #1 cell_(D9) in an efficent way.
     It uses the same</t>
        </r>
        <r>
          <rPr>
            <u/>
            <sz val="10"/>
            <color indexed="81"/>
            <rFont val="Tahoma"/>
            <family val="2"/>
          </rPr>
          <t xml:space="preserve"> </t>
        </r>
        <r>
          <rPr>
            <b/>
            <u/>
            <sz val="10"/>
            <color indexed="10"/>
            <rFont val="Tahoma"/>
            <family val="2"/>
          </rPr>
          <t>ratio</t>
        </r>
        <r>
          <rPr>
            <sz val="10"/>
            <color indexed="81"/>
            <rFont val="Tahoma"/>
            <family val="2"/>
          </rPr>
          <t xml:space="preserve"> as the numbers you entered in the yellow cells to the left (C15:16).</t>
        </r>
      </text>
    </comment>
    <comment ref="F15" authorId="0" shapeId="0" xr:uid="{00000000-0006-0000-0000-00001E000000}">
      <text>
        <r>
          <rPr>
            <sz val="10"/>
            <color indexed="81"/>
            <rFont val="Tahoma"/>
            <family val="2"/>
          </rPr>
          <t xml:space="preserve">   This is the calculated </t>
        </r>
        <r>
          <rPr>
            <sz val="10"/>
            <color indexed="10"/>
            <rFont val="Tahoma"/>
            <family val="2"/>
          </rPr>
          <t>SE% for the basal area</t>
        </r>
        <r>
          <rPr>
            <sz val="10"/>
            <color indexed="81"/>
            <rFont val="Tahoma"/>
            <family val="2"/>
          </rPr>
          <t xml:space="preserve"> or tree count (using </t>
        </r>
        <r>
          <rPr>
            <sz val="10"/>
            <color indexed="10"/>
            <rFont val="Tahoma"/>
            <family val="2"/>
          </rPr>
          <t>your</t>
        </r>
        <r>
          <rPr>
            <sz val="10"/>
            <color indexed="81"/>
            <rFont val="Tahoma"/>
            <family val="2"/>
          </rPr>
          <t xml:space="preserve"> number of sample points in cell C15). </t>
        </r>
      </text>
    </comment>
    <comment ref="I15" authorId="0" shapeId="0" xr:uid="{00000000-0006-0000-0000-00001F000000}">
      <text>
        <r>
          <rPr>
            <sz val="10"/>
            <color indexed="81"/>
            <rFont val="Tahoma"/>
            <family val="2"/>
          </rPr>
          <t xml:space="preserve">  This is the </t>
        </r>
        <r>
          <rPr>
            <sz val="10"/>
            <color indexed="10"/>
            <rFont val="Tahoma"/>
            <family val="2"/>
          </rPr>
          <t>average tree count you are expecting</t>
        </r>
        <r>
          <rPr>
            <sz val="10"/>
            <color indexed="81"/>
            <rFont val="Tahoma"/>
            <family val="2"/>
          </rPr>
          <t xml:space="preserve"> on the cruise.
-------------------
  Get the </t>
        </r>
        <r>
          <rPr>
            <sz val="10"/>
            <color indexed="10"/>
            <rFont val="Tahoma"/>
            <family val="2"/>
          </rPr>
          <t>approximate basal area</t>
        </r>
        <r>
          <rPr>
            <sz val="10"/>
            <color indexed="81"/>
            <rFont val="Tahoma"/>
            <family val="2"/>
          </rPr>
          <t xml:space="preserve"> on the tract (use </t>
        </r>
        <r>
          <rPr>
            <u/>
            <sz val="10"/>
            <color indexed="81"/>
            <rFont val="Tahoma"/>
            <family val="2"/>
          </rPr>
          <t>any</t>
        </r>
        <r>
          <rPr>
            <sz val="10"/>
            <color indexed="81"/>
            <rFont val="Tahoma"/>
            <family val="2"/>
          </rPr>
          <t xml:space="preserve"> prism, or your calibrated thumb to get this).  
  Then </t>
        </r>
        <r>
          <rPr>
            <sz val="10"/>
            <color indexed="10"/>
            <rFont val="Tahoma"/>
            <family val="2"/>
          </rPr>
          <t>divide it by the BAF</t>
        </r>
        <r>
          <rPr>
            <sz val="10"/>
            <color indexed="81"/>
            <rFont val="Tahoma"/>
            <family val="2"/>
          </rPr>
          <t xml:space="preserve"> you </t>
        </r>
        <r>
          <rPr>
            <u/>
            <sz val="10"/>
            <color indexed="81"/>
            <rFont val="Tahoma"/>
            <family val="2"/>
          </rPr>
          <t>intend</t>
        </r>
        <r>
          <rPr>
            <sz val="10"/>
            <color indexed="81"/>
            <rFont val="Tahoma"/>
            <family val="2"/>
          </rPr>
          <t xml:space="preserve"> to use and you will get the </t>
        </r>
        <r>
          <rPr>
            <sz val="10"/>
            <color indexed="10"/>
            <rFont val="Tahoma"/>
            <family val="2"/>
          </rPr>
          <t>average tree count</t>
        </r>
        <r>
          <rPr>
            <sz val="10"/>
            <color indexed="81"/>
            <rFont val="Tahoma"/>
            <family val="2"/>
          </rPr>
          <t xml:space="preserve"> with that BAF.
  Alternatively, divide the basal area by the count you WANT, and that will calculate the BAF you should use for counting trees.</t>
        </r>
      </text>
    </comment>
    <comment ref="B16" authorId="0" shapeId="0" xr:uid="{00000000-0006-0000-0000-000020000000}">
      <text>
        <r>
          <rPr>
            <sz val="10"/>
            <color indexed="81"/>
            <rFont val="Tahoma"/>
            <family val="2"/>
          </rPr>
          <t xml:space="preserve">  In this cell, enter the </t>
        </r>
        <r>
          <rPr>
            <sz val="10"/>
            <color indexed="10"/>
            <rFont val="Tahoma"/>
            <family val="2"/>
          </rPr>
          <t>number of *BAR measurements</t>
        </r>
        <r>
          <rPr>
            <sz val="10"/>
            <color indexed="81"/>
            <rFont val="Tahoma"/>
            <family val="2"/>
          </rPr>
          <t xml:space="preserve"> you intend to take.
  This is usually the </t>
        </r>
        <r>
          <rPr>
            <sz val="10"/>
            <color indexed="10"/>
            <rFont val="Tahoma"/>
            <family val="2"/>
          </rPr>
          <t>number of trees,</t>
        </r>
        <r>
          <rPr>
            <sz val="10"/>
            <color indexed="81"/>
            <rFont val="Tahoma"/>
            <family val="2"/>
          </rPr>
          <t xml:space="preserve"> and corresponds to the CV you entered for *BAR.
  In some cases, it is the number of entire clusters (all trees at a point) </t>
        </r>
        <r>
          <rPr>
            <u/>
            <sz val="10"/>
            <color indexed="81"/>
            <rFont val="Tahoma"/>
            <family val="2"/>
          </rPr>
          <t>IF</t>
        </r>
        <r>
          <rPr>
            <sz val="10"/>
            <color indexed="81"/>
            <rFont val="Tahoma"/>
            <family val="2"/>
          </rPr>
          <t xml:space="preserve"> that CV has been entered in the section above.</t>
        </r>
        <r>
          <rPr>
            <sz val="10"/>
            <color indexed="81"/>
            <rFont val="Tahoma"/>
            <family val="2"/>
          </rPr>
          <t xml:space="preserve">
</t>
        </r>
      </text>
    </comment>
    <comment ref="F16" authorId="0" shapeId="0" xr:uid="{00000000-0006-0000-0000-000021000000}">
      <text>
        <r>
          <rPr>
            <sz val="10"/>
            <color indexed="81"/>
            <rFont val="Tahoma"/>
            <family val="2"/>
          </rPr>
          <t xml:space="preserve">  This is the </t>
        </r>
        <r>
          <rPr>
            <sz val="10"/>
            <color indexed="10"/>
            <rFont val="Tahoma"/>
            <family val="2"/>
          </rPr>
          <t>SE% for the *BAR measurements,</t>
        </r>
        <r>
          <rPr>
            <sz val="10"/>
            <color indexed="81"/>
            <rFont val="Tahoma"/>
            <family val="2"/>
          </rPr>
          <t xml:space="preserve"> assuming the number that you are testing, as entered in cell C16.
</t>
        </r>
      </text>
    </comment>
    <comment ref="I16" authorId="0" shapeId="0" xr:uid="{00000000-0006-0000-0000-000022000000}">
      <text>
        <r>
          <rPr>
            <sz val="10"/>
            <color indexed="81"/>
            <rFont val="Tahoma"/>
            <family val="2"/>
          </rPr>
          <t xml:space="preserve">  This is </t>
        </r>
        <r>
          <rPr>
            <sz val="10"/>
            <color indexed="10"/>
            <rFont val="Tahoma"/>
            <family val="2"/>
          </rPr>
          <t xml:space="preserve">the total number of trees you will  </t>
        </r>
        <r>
          <rPr>
            <u/>
            <sz val="10"/>
            <color indexed="10"/>
            <rFont val="Tahoma"/>
            <family val="2"/>
          </rPr>
          <t>choose</t>
        </r>
        <r>
          <rPr>
            <sz val="10"/>
            <color indexed="10"/>
            <rFont val="Tahoma"/>
            <family val="2"/>
          </rPr>
          <t xml:space="preserve"> from (for *BAR) during the cruise</t>
        </r>
        <r>
          <rPr>
            <sz val="10"/>
            <color indexed="81"/>
            <rFont val="Tahoma"/>
            <family val="2"/>
          </rPr>
          <t xml:space="preserve"> that you are considering.
    You can use the "Big BAF" multiplier to choose a prism which will automatically select  the right number of trees to measure (if your estimate of average tree count is accurate).</t>
        </r>
      </text>
    </comment>
    <comment ref="D17" authorId="0" shapeId="0" xr:uid="{00000000-0006-0000-0000-000023000000}">
      <text>
        <r>
          <rPr>
            <sz val="10"/>
            <color indexed="81"/>
            <rFont val="Tahoma"/>
            <family val="2"/>
          </rPr>
          <t xml:space="preserve">  This indicates the </t>
        </r>
        <r>
          <rPr>
            <u/>
            <sz val="10"/>
            <color indexed="10"/>
            <rFont val="Tahoma"/>
            <family val="2"/>
          </rPr>
          <t>overall</t>
        </r>
        <r>
          <rPr>
            <sz val="10"/>
            <color indexed="10"/>
            <rFont val="Tahoma"/>
            <family val="2"/>
          </rPr>
          <t xml:space="preserve"> </t>
        </r>
        <r>
          <rPr>
            <u/>
            <sz val="10"/>
            <color indexed="10"/>
            <rFont val="Tahoma"/>
            <family val="2"/>
          </rPr>
          <t>relative</t>
        </r>
        <r>
          <rPr>
            <sz val="10"/>
            <color indexed="10"/>
            <rFont val="Tahoma"/>
            <family val="2"/>
          </rPr>
          <t xml:space="preserve"> efficiency of your tested alternative.</t>
        </r>
        <r>
          <rPr>
            <sz val="10"/>
            <color indexed="81"/>
            <rFont val="Tahoma"/>
            <family val="2"/>
          </rPr>
          <t xml:space="preserve">
  It is the </t>
        </r>
        <r>
          <rPr>
            <sz val="10"/>
            <color indexed="10"/>
            <rFont val="Tahoma"/>
            <family val="2"/>
          </rPr>
          <t>ratio of the total costs</t>
        </r>
        <r>
          <rPr>
            <sz val="10"/>
            <color indexed="81"/>
            <rFont val="Tahoma"/>
            <family val="2"/>
          </rPr>
          <t xml:space="preserve"> </t>
        </r>
        <r>
          <rPr>
            <b/>
            <sz val="10"/>
            <color indexed="10"/>
            <rFont val="Tahoma"/>
            <family val="2"/>
          </rPr>
          <t>IF</t>
        </r>
        <r>
          <rPr>
            <sz val="10"/>
            <color indexed="81"/>
            <rFont val="Tahoma"/>
            <family val="2"/>
          </rPr>
          <t xml:space="preserve"> you were to use the number of plots in italics to get the same SE% as the optimal solution (using </t>
        </r>
        <r>
          <rPr>
            <u/>
            <sz val="10"/>
            <color indexed="81"/>
            <rFont val="Tahoma"/>
            <family val="2"/>
          </rPr>
          <t>your</t>
        </r>
        <r>
          <rPr>
            <sz val="10"/>
            <color indexed="81"/>
            <rFont val="Tahoma"/>
            <family val="2"/>
          </rPr>
          <t xml:space="preserve"> less efficient </t>
        </r>
        <r>
          <rPr>
            <u/>
            <sz val="10"/>
            <color indexed="81"/>
            <rFont val="Tahoma"/>
            <family val="2"/>
          </rPr>
          <t>ratio</t>
        </r>
        <r>
          <rPr>
            <sz val="10"/>
            <color indexed="81"/>
            <rFont val="Tahoma"/>
            <family val="2"/>
          </rPr>
          <t xml:space="preserve"> of counts to measurements)</t>
        </r>
      </text>
    </comment>
    <comment ref="F17" authorId="0" shapeId="0" xr:uid="{00000000-0006-0000-0000-000024000000}">
      <text>
        <r>
          <rPr>
            <sz val="10"/>
            <color indexed="81"/>
            <rFont val="Tahoma"/>
            <family val="2"/>
          </rPr>
          <t xml:space="preserve">  This is the </t>
        </r>
        <r>
          <rPr>
            <u/>
            <sz val="10"/>
            <color indexed="10"/>
            <rFont val="Tahoma"/>
            <family val="2"/>
          </rPr>
          <t>Total</t>
        </r>
        <r>
          <rPr>
            <sz val="10"/>
            <color indexed="10"/>
            <rFont val="Tahoma"/>
            <family val="2"/>
          </rPr>
          <t xml:space="preserve"> SE%, using the number of plots and measurements you are testing</t>
        </r>
        <r>
          <rPr>
            <sz val="10"/>
            <color indexed="81"/>
            <rFont val="Tahoma"/>
            <family val="2"/>
          </rPr>
          <t xml:space="preserve"> in this section.
  It may </t>
        </r>
        <r>
          <rPr>
            <i/>
            <sz val="10"/>
            <color indexed="81"/>
            <rFont val="Tahoma"/>
            <family val="2"/>
          </rPr>
          <t>intentionally</t>
        </r>
        <r>
          <rPr>
            <sz val="10"/>
            <color indexed="81"/>
            <rFont val="Tahoma"/>
            <family val="2"/>
          </rPr>
          <t xml:space="preserve"> not be exactly the same as the SE% you entered in the optimizing section above </t>
        </r>
        <r>
          <rPr>
            <sz val="10"/>
            <color indexed="10"/>
            <rFont val="Tahoma"/>
            <family val="2"/>
          </rPr>
          <t>{D9}</t>
        </r>
        <r>
          <rPr>
            <sz val="10"/>
            <color indexed="81"/>
            <rFont val="Tahoma"/>
            <family val="2"/>
          </rPr>
          <t xml:space="preserve">.  
  Having a few extra plots is usually a wise move, and this section will tell you what different alternatives will "cost", compared to ana "optimal" ratio and number -- </t>
        </r>
        <r>
          <rPr>
            <i/>
            <sz val="10"/>
            <color indexed="81"/>
            <rFont val="Tahoma"/>
            <family val="2"/>
          </rPr>
          <t>bear in mind,</t>
        </r>
        <r>
          <rPr>
            <sz val="10"/>
            <color indexed="81"/>
            <rFont val="Tahoma"/>
            <family val="2"/>
          </rPr>
          <t xml:space="preserve"> of course, that the CV's you entered in this program are only </t>
        </r>
        <r>
          <rPr>
            <u/>
            <sz val="10"/>
            <color indexed="81"/>
            <rFont val="Tahoma"/>
            <family val="2"/>
          </rPr>
          <t>estimates,</t>
        </r>
        <r>
          <rPr>
            <sz val="10"/>
            <color indexed="81"/>
            <rFont val="Tahoma"/>
            <family val="2"/>
          </rPr>
          <t xml:space="preserve"> and therefore any sample size calculations are </t>
        </r>
        <r>
          <rPr>
            <i/>
            <sz val="10"/>
            <color indexed="81"/>
            <rFont val="Tahoma"/>
            <family val="2"/>
          </rPr>
          <t>also</t>
        </r>
        <r>
          <rPr>
            <sz val="10"/>
            <color indexed="81"/>
            <rFont val="Tahoma"/>
            <family val="2"/>
          </rPr>
          <t xml:space="preserve"> only estimates.</t>
        </r>
      </text>
    </comment>
    <comment ref="I17" authorId="0" shapeId="0" xr:uid="{00000000-0006-0000-0000-000025000000}">
      <text>
        <r>
          <rPr>
            <sz val="10"/>
            <color indexed="81"/>
            <rFont val="Tahoma"/>
            <family val="2"/>
          </rPr>
          <t xml:space="preserve">  This is the </t>
        </r>
        <r>
          <rPr>
            <sz val="10"/>
            <color indexed="10"/>
            <rFont val="Tahoma"/>
            <family val="2"/>
          </rPr>
          <t>number of fully measured plots you will be measuring during the cruise</t>
        </r>
        <r>
          <rPr>
            <sz val="10"/>
            <color indexed="81"/>
            <rFont val="Tahoma"/>
            <family val="2"/>
          </rPr>
          <t xml:space="preserve"> to get the required number of VBARs.
  You can check the "Big BAF multiplier" to find out how often that would occur.  For instance you might need 2.71 plots (obviously rounded to 3, and in 31 plots with 7 trees/plot to get about 19 trees.  That would be one per 11.42 plots (which would be the ratio in cell I14).  It would be better to select every 12th tree than to take them in 3 clusters like this.  </t>
        </r>
      </text>
    </comment>
    <comment ref="D18" authorId="0" shapeId="0" xr:uid="{00000000-0006-0000-0000-000026000000}">
      <text>
        <r>
          <rPr>
            <sz val="10"/>
            <color indexed="81"/>
            <rFont val="Tahoma"/>
            <family val="2"/>
          </rPr>
          <t xml:space="preserve">  This indicates the </t>
        </r>
        <r>
          <rPr>
            <b/>
            <u/>
            <sz val="10"/>
            <color indexed="10"/>
            <rFont val="Tahoma"/>
            <family val="2"/>
          </rPr>
          <t>field</t>
        </r>
        <r>
          <rPr>
            <sz val="10"/>
            <color indexed="10"/>
            <rFont val="Tahoma"/>
            <family val="2"/>
          </rPr>
          <t xml:space="preserve"> efficiency</t>
        </r>
        <r>
          <rPr>
            <sz val="10"/>
            <color indexed="81"/>
            <rFont val="Tahoma"/>
            <family val="2"/>
          </rPr>
          <t xml:space="preserve"> of your tested alternative.  It </t>
        </r>
        <r>
          <rPr>
            <sz val="10"/>
            <color indexed="10"/>
            <rFont val="Tahoma"/>
            <family val="2"/>
          </rPr>
          <t>pays no attention to the fixed costs.</t>
        </r>
        <r>
          <rPr>
            <sz val="10"/>
            <color indexed="81"/>
            <rFont val="Tahoma"/>
            <family val="2"/>
          </rPr>
          <t xml:space="preserve">
  It is the </t>
        </r>
        <r>
          <rPr>
            <sz val="10"/>
            <color indexed="10"/>
            <rFont val="Tahoma"/>
            <family val="2"/>
          </rPr>
          <t xml:space="preserve">ratio of the total costs </t>
        </r>
        <r>
          <rPr>
            <b/>
            <sz val="10"/>
            <color indexed="10"/>
            <rFont val="Tahoma"/>
            <family val="2"/>
          </rPr>
          <t>IF</t>
        </r>
        <r>
          <rPr>
            <sz val="10"/>
            <color indexed="81"/>
            <rFont val="Tahoma"/>
            <family val="2"/>
          </rPr>
          <t xml:space="preserve"> you were to use the number of plots in italics to get the </t>
        </r>
        <r>
          <rPr>
            <sz val="10"/>
            <color indexed="10"/>
            <rFont val="Tahoma"/>
            <family val="2"/>
          </rPr>
          <t>same SE%</t>
        </r>
        <r>
          <rPr>
            <sz val="10"/>
            <color indexed="81"/>
            <rFont val="Tahoma"/>
            <family val="2"/>
          </rPr>
          <t xml:space="preserve"> as the optimal solution (using </t>
        </r>
        <r>
          <rPr>
            <u/>
            <sz val="10"/>
            <color indexed="81"/>
            <rFont val="Tahoma"/>
            <family val="2"/>
          </rPr>
          <t>your</t>
        </r>
        <r>
          <rPr>
            <sz val="10"/>
            <color indexed="81"/>
            <rFont val="Tahoma"/>
            <family val="2"/>
          </rPr>
          <t xml:space="preserve"> less efficient </t>
        </r>
        <r>
          <rPr>
            <u/>
            <sz val="10"/>
            <color indexed="81"/>
            <rFont val="Tahoma"/>
            <family val="2"/>
          </rPr>
          <t>ratio</t>
        </r>
        <r>
          <rPr>
            <sz val="10"/>
            <color indexed="81"/>
            <rFont val="Tahoma"/>
            <family val="2"/>
          </rPr>
          <t xml:space="preserve"> of counts to measurements)</t>
        </r>
      </text>
    </comment>
    <comment ref="F18" authorId="0" shapeId="0" xr:uid="{00000000-0006-0000-0000-000027000000}">
      <text>
        <r>
          <rPr>
            <sz val="10"/>
            <color indexed="81"/>
            <rFont val="Tahoma"/>
            <family val="2"/>
          </rPr>
          <t xml:space="preserve">  This is the </t>
        </r>
        <r>
          <rPr>
            <sz val="10"/>
            <color indexed="10"/>
            <rFont val="Tahoma"/>
            <family val="2"/>
          </rPr>
          <t>overall cost</t>
        </r>
        <r>
          <rPr>
            <sz val="10"/>
            <color indexed="81"/>
            <rFont val="Tahoma"/>
            <family val="2"/>
          </rPr>
          <t xml:space="preserve"> of the cruise plan you are testing.</t>
        </r>
      </text>
    </comment>
    <comment ref="I18" authorId="0" shapeId="0" xr:uid="{00000000-0006-0000-0000-000028000000}">
      <text>
        <r>
          <rPr>
            <sz val="10"/>
            <color indexed="81"/>
            <rFont val="Tahoma"/>
            <family val="2"/>
          </rPr>
          <t xml:space="preserve">  This is the average </t>
        </r>
        <r>
          <rPr>
            <sz val="10"/>
            <color indexed="10"/>
            <rFont val="Tahoma"/>
            <family val="2"/>
          </rPr>
          <t>cost per sample point visited.</t>
        </r>
        <r>
          <rPr>
            <sz val="10"/>
            <color indexed="81"/>
            <rFont val="Tahoma"/>
            <family val="2"/>
          </rPr>
          <t xml:space="preserve">  
  It cannot be strictly compared to the other cost per point in cell G11, since different schemes are used.  </t>
        </r>
      </text>
    </comment>
    <comment ref="F19" authorId="0" shapeId="0" xr:uid="{00000000-0006-0000-0000-000029000000}">
      <text>
        <r>
          <rPr>
            <sz val="10"/>
            <color indexed="81"/>
            <rFont val="Tahoma"/>
            <family val="2"/>
          </rPr>
          <t xml:space="preserve">  </t>
        </r>
        <r>
          <rPr>
            <sz val="10"/>
            <color indexed="12"/>
            <rFont val="Tahoma"/>
            <family val="2"/>
          </rPr>
          <t>This is the</t>
        </r>
        <r>
          <rPr>
            <sz val="10"/>
            <color indexed="81"/>
            <rFont val="Tahoma"/>
            <family val="2"/>
          </rPr>
          <t xml:space="preserve"> </t>
        </r>
        <r>
          <rPr>
            <sz val="10"/>
            <color indexed="10"/>
            <rFont val="Tahoma"/>
            <family val="2"/>
          </rPr>
          <t>relative cost percentage of the cruise you are testing vs. the optimal solution.</t>
        </r>
        <r>
          <rPr>
            <sz val="10"/>
            <color indexed="81"/>
            <rFont val="Tahoma"/>
            <family val="2"/>
          </rPr>
          <t xml:space="preserve">  
  Bear in mind that it </t>
        </r>
        <r>
          <rPr>
            <sz val="10"/>
            <color indexed="10"/>
            <rFont val="Tahoma"/>
            <family val="2"/>
          </rPr>
          <t>may be for a different SE%,</t>
        </r>
        <r>
          <rPr>
            <sz val="10"/>
            <color indexed="81"/>
            <rFont val="Tahoma"/>
            <family val="2"/>
          </rPr>
          <t xml:space="preserve"> and therefore may look more or less efficient than getting exactly the same result.  
  </t>
        </r>
        <r>
          <rPr>
            <sz val="10"/>
            <color indexed="10"/>
            <rFont val="Tahoma"/>
            <family val="2"/>
          </rPr>
          <t xml:space="preserve">This comparison is for the </t>
        </r>
        <r>
          <rPr>
            <u/>
            <sz val="10"/>
            <color indexed="10"/>
            <rFont val="Tahoma"/>
            <family val="2"/>
          </rPr>
          <t>overall</t>
        </r>
        <r>
          <rPr>
            <sz val="10"/>
            <color indexed="10"/>
            <rFont val="Tahoma"/>
            <family val="2"/>
          </rPr>
          <t xml:space="preserve"> plan, and may include a decision to oversample, for instance.
   </t>
        </r>
        <r>
          <rPr>
            <b/>
            <sz val="10"/>
            <color indexed="10"/>
            <rFont val="Tahoma"/>
            <family val="2"/>
          </rPr>
          <t>Comparitive</t>
        </r>
        <r>
          <rPr>
            <sz val="10"/>
            <color indexed="12"/>
            <rFont val="Tahoma"/>
            <family val="2"/>
          </rPr>
          <t xml:space="preserve"> efficiency is available in Cells {D, 17 &amp; 18}</t>
        </r>
      </text>
    </comment>
    <comment ref="G19" authorId="0" shapeId="0" xr:uid="{00000000-0006-0000-0000-00002A000000}">
      <text>
        <r>
          <rPr>
            <sz val="10"/>
            <color indexed="81"/>
            <rFont val="Tahoma"/>
            <family val="2"/>
          </rPr>
          <t xml:space="preserve">  This is the </t>
        </r>
        <r>
          <rPr>
            <sz val="10"/>
            <color indexed="10"/>
            <rFont val="Tahoma"/>
            <family val="2"/>
          </rPr>
          <t>efficiency of the cruise you are testing vs. the optimal solution.</t>
        </r>
        <r>
          <rPr>
            <sz val="10"/>
            <color indexed="81"/>
            <rFont val="Tahoma"/>
            <family val="2"/>
          </rPr>
          <t xml:space="preserve">  
  Bear in mind that it </t>
        </r>
        <r>
          <rPr>
            <sz val="10"/>
            <color indexed="10"/>
            <rFont val="Tahoma"/>
            <family val="2"/>
          </rPr>
          <t>may be for a different SE%,</t>
        </r>
        <r>
          <rPr>
            <sz val="10"/>
            <color indexed="81"/>
            <rFont val="Tahoma"/>
            <family val="2"/>
          </rPr>
          <t xml:space="preserve"> and therefore may look more or less efficient than when you get exactly the same result.  
  That is why the </t>
        </r>
        <r>
          <rPr>
            <sz val="10"/>
            <color indexed="10"/>
            <rFont val="Tahoma"/>
            <family val="2"/>
          </rPr>
          <t>other efficiencies</t>
        </r>
        <r>
          <rPr>
            <sz val="10"/>
            <color indexed="81"/>
            <rFont val="Tahoma"/>
            <family val="2"/>
          </rPr>
          <t xml:space="preserve"> (cells D17,18) are included, because they include </t>
        </r>
        <r>
          <rPr>
            <u/>
            <sz val="10"/>
            <color indexed="81"/>
            <rFont val="Tahoma"/>
            <family val="2"/>
          </rPr>
          <t>only</t>
        </r>
        <r>
          <rPr>
            <sz val="10"/>
            <color indexed="81"/>
            <rFont val="Tahoma"/>
            <family val="2"/>
          </rPr>
          <t xml:space="preserve"> the difference </t>
        </r>
        <r>
          <rPr>
            <u/>
            <sz val="10"/>
            <color indexed="81"/>
            <rFont val="Tahoma"/>
            <family val="2"/>
          </rPr>
          <t>due to the ratio</t>
        </r>
        <r>
          <rPr>
            <sz val="10"/>
            <color indexed="81"/>
            <rFont val="Tahoma"/>
            <family val="2"/>
          </rPr>
          <t xml:space="preserve"> of C:M you are testing.
  </t>
        </r>
        <r>
          <rPr>
            <b/>
            <sz val="10"/>
            <color indexed="81"/>
            <rFont val="Tahoma"/>
            <family val="2"/>
          </rPr>
          <t>This</t>
        </r>
        <r>
          <rPr>
            <sz val="10"/>
            <color indexed="81"/>
            <rFont val="Tahoma"/>
            <family val="2"/>
          </rPr>
          <t xml:space="preserve"> comparison is for the </t>
        </r>
        <r>
          <rPr>
            <sz val="10"/>
            <color indexed="10"/>
            <rFont val="Tahoma"/>
            <family val="2"/>
          </rPr>
          <t>overall</t>
        </r>
        <r>
          <rPr>
            <sz val="10"/>
            <color indexed="81"/>
            <rFont val="Tahoma"/>
            <family val="2"/>
          </rPr>
          <t xml:space="preserve"> plan, and may include a decision to oversample, for instance.</t>
        </r>
      </text>
    </comment>
    <comment ref="I19" authorId="0" shapeId="0" xr:uid="{00000000-0006-0000-0000-00002B000000}">
      <text>
        <r>
          <rPr>
            <sz val="10"/>
            <color indexed="81"/>
            <rFont val="Tahoma"/>
            <family val="2"/>
          </rPr>
          <t xml:space="preserve">  There is not really a CV for Variable Plot sampling when you use count and measure plots, because the variability depends on the ratio of C:M plots.
  </t>
        </r>
        <r>
          <rPr>
            <sz val="10"/>
            <color indexed="10"/>
            <rFont val="Tahoma"/>
            <family val="2"/>
          </rPr>
          <t>If you want a reasonable approximation to the CV,</t>
        </r>
        <r>
          <rPr>
            <sz val="10"/>
            <color indexed="81"/>
            <rFont val="Tahoma"/>
            <family val="2"/>
          </rPr>
          <t xml:space="preserve"> using the  ratio you are testing, then this is a good one.
  If you want to calculate some other sample size, this can be plugged into the standard equations.</t>
        </r>
      </text>
    </comment>
    <comment ref="B20" authorId="0" shapeId="0" xr:uid="{00000000-0006-0000-0000-00002C000000}">
      <text>
        <r>
          <rPr>
            <sz val="10"/>
            <color indexed="10"/>
            <rFont val="Tahoma"/>
            <family val="2"/>
          </rPr>
          <t>Yellow</t>
        </r>
        <r>
          <rPr>
            <sz val="10"/>
            <color indexed="81"/>
            <rFont val="Tahoma"/>
            <family val="2"/>
          </rPr>
          <t xml:space="preserve"> Items are ones you fill in.
</t>
        </r>
        <r>
          <rPr>
            <sz val="10"/>
            <color indexed="10"/>
            <rFont val="Tahoma"/>
            <family val="2"/>
          </rPr>
          <t>Gold</t>
        </r>
        <r>
          <rPr>
            <sz val="10"/>
            <color indexed="81"/>
            <rFont val="Tahoma"/>
            <family val="2"/>
          </rPr>
          <t xml:space="preserve"> are optional
</t>
        </r>
        <r>
          <rPr>
            <sz val="10"/>
            <color indexed="10"/>
            <rFont val="Tahoma"/>
            <family val="2"/>
          </rPr>
          <t>Grey</t>
        </r>
        <r>
          <rPr>
            <sz val="10"/>
            <color indexed="81"/>
            <rFont val="Tahoma"/>
            <family val="2"/>
          </rPr>
          <t xml:space="preserve"> are computed items
   </t>
        </r>
        <r>
          <rPr>
            <sz val="10"/>
            <color indexed="10"/>
            <rFont val="Tahoma"/>
            <family val="2"/>
          </rPr>
          <t>Dark Blue section</t>
        </r>
        <r>
          <rPr>
            <sz val="10"/>
            <color indexed="81"/>
            <rFont val="Tahoma"/>
            <family val="2"/>
          </rPr>
          <t xml:space="preserve">s are for information.
   Other colors are for organization.
A </t>
        </r>
        <r>
          <rPr>
            <sz val="10"/>
            <color indexed="10"/>
            <rFont val="Tahoma"/>
            <family val="2"/>
          </rPr>
          <t>red triangle in the corner of a cell</t>
        </r>
        <r>
          <rPr>
            <sz val="10"/>
            <color indexed="81"/>
            <rFont val="Tahoma"/>
            <family val="2"/>
          </rPr>
          <t xml:space="preserve"> means that a comment is available about it.  Put the cursor there, and it will pop up.</t>
        </r>
        <r>
          <rPr>
            <b/>
            <sz val="10"/>
            <color indexed="81"/>
            <rFont val="Tahoma"/>
            <family val="2"/>
          </rPr>
          <t xml:space="preserve">
</t>
        </r>
      </text>
    </comment>
    <comment ref="C20" authorId="0" shapeId="0" xr:uid="{00000000-0006-0000-0000-00002D000000}">
      <text>
        <r>
          <rPr>
            <sz val="10"/>
            <color indexed="18"/>
            <rFont val="Tahoma"/>
            <family val="2"/>
          </rPr>
          <t xml:space="preserve">  The comments are shown when you are on a cell with a red triangle in the upper right (or if that cell is frequently filled in, the red triangle and comment is on the cell next to it).
  </t>
        </r>
        <r>
          <rPr>
            <sz val="10"/>
            <color indexed="10"/>
            <rFont val="Tahoma"/>
            <family val="2"/>
          </rPr>
          <t>If the comments flow off the screen,</t>
        </r>
        <r>
          <rPr>
            <sz val="10"/>
            <color indexed="18"/>
            <rFont val="Tahoma"/>
            <family val="2"/>
          </rPr>
          <t xml:space="preserve"> hold down the left mouse button and drag until the whole comment is visible.
  </t>
        </r>
        <r>
          <rPr>
            <sz val="10"/>
            <color indexed="10"/>
            <rFont val="Tahoma"/>
            <family val="2"/>
          </rPr>
          <t>You can turn off all these comments</t>
        </r>
        <r>
          <rPr>
            <sz val="10"/>
            <color indexed="18"/>
            <rFont val="Tahoma"/>
            <family val="2"/>
          </rPr>
          <t xml:space="preserve"> once you are familiar with the spreadsheet, using  
      {Tools/options/view/comments/none}
If you turn off the comments, you can always check them on the "demo copy" worksheet, which does not compute numbers.</t>
        </r>
        <r>
          <rPr>
            <b/>
            <sz val="10"/>
            <color indexed="81"/>
            <rFont val="Tahoma"/>
            <family val="2"/>
          </rPr>
          <t xml:space="preserve">
</t>
        </r>
      </text>
    </comment>
    <comment ref="D20" authorId="0" shapeId="0" xr:uid="{00000000-0006-0000-0000-00002E000000}">
      <text>
        <r>
          <rPr>
            <sz val="10"/>
            <color indexed="18"/>
            <rFont val="Tahoma"/>
            <family val="2"/>
          </rPr>
          <t xml:space="preserve">  </t>
        </r>
        <r>
          <rPr>
            <sz val="10"/>
            <color indexed="10"/>
            <rFont val="Tahoma"/>
            <family val="2"/>
          </rPr>
          <t>If you never use some items,</t>
        </r>
        <r>
          <rPr>
            <sz val="10"/>
            <color indexed="18"/>
            <rFont val="Tahoma"/>
            <family val="2"/>
          </rPr>
          <t xml:space="preserve"> and don’t want them to clutter the spreadsheet, just </t>
        </r>
        <r>
          <rPr>
            <u/>
            <sz val="10"/>
            <color indexed="18"/>
            <rFont val="Tahoma"/>
            <family val="2"/>
          </rPr>
          <t>unprotect</t>
        </r>
        <r>
          <rPr>
            <sz val="10"/>
            <color indexed="18"/>
            <rFont val="Tahoma"/>
            <family val="2"/>
          </rPr>
          <t xml:space="preserve"> the worksheet and blank out the choices and results.
</t>
        </r>
        <r>
          <rPr>
            <b/>
            <sz val="10"/>
            <color indexed="10"/>
            <rFont val="Tahoma"/>
            <family val="2"/>
          </rPr>
          <t xml:space="preserve">  Better yet</t>
        </r>
        <r>
          <rPr>
            <sz val="10"/>
            <color indexed="10"/>
            <rFont val="Tahoma"/>
            <family val="2"/>
          </rPr>
          <t xml:space="preserve">, </t>
        </r>
        <r>
          <rPr>
            <sz val="10"/>
            <color indexed="18"/>
            <rFont val="Tahoma"/>
            <family val="2"/>
          </rPr>
          <t xml:space="preserve">make the text the same color as the background, then you can reverse the process later, </t>
        </r>
        <r>
          <rPr>
            <u/>
            <sz val="10"/>
            <color indexed="18"/>
            <rFont val="Tahoma"/>
            <family val="2"/>
          </rPr>
          <t>and</t>
        </r>
        <r>
          <rPr>
            <sz val="10"/>
            <color indexed="18"/>
            <rFont val="Tahoma"/>
            <family val="2"/>
          </rPr>
          <t xml:space="preserve"> you will not mess up any computations.
  </t>
        </r>
        <r>
          <rPr>
            <sz val="10"/>
            <color indexed="10"/>
            <rFont val="Tahoma"/>
            <family val="2"/>
          </rPr>
          <t>If you don't want people to change or use some of the options,</t>
        </r>
        <r>
          <rPr>
            <sz val="10"/>
            <color indexed="18"/>
            <rFont val="Tahoma"/>
            <family val="2"/>
          </rPr>
          <t xml:space="preserve"> you can lock that item by :
  { format/ cells/ protection/ locked }</t>
        </r>
      </text>
    </comment>
    <comment ref="E20" authorId="3" shapeId="0" xr:uid="{00000000-0006-0000-0000-00002F000000}">
      <text>
        <r>
          <rPr>
            <sz val="10"/>
            <color indexed="81"/>
            <rFont val="Tahoma"/>
            <family val="2"/>
          </rPr>
          <t xml:space="preserve">   
 </t>
        </r>
        <r>
          <rPr>
            <b/>
            <sz val="10"/>
            <color indexed="10"/>
            <rFont val="Tahoma"/>
            <family val="2"/>
          </rPr>
          <t>Version : 2023 mainly wording &amp; instructions)</t>
        </r>
        <r>
          <rPr>
            <sz val="10"/>
            <color indexed="81"/>
            <rFont val="Tahoma"/>
            <family val="2"/>
          </rPr>
          <t xml:space="preserve">
   This program is provided by</t>
        </r>
        <r>
          <rPr>
            <sz val="10"/>
            <color indexed="10"/>
            <rFont val="Tahoma"/>
            <family val="2"/>
          </rPr>
          <t xml:space="preserve"> Dr. Kim Iles</t>
        </r>
        <r>
          <rPr>
            <sz val="10"/>
            <color indexed="8"/>
            <rFont val="Tahoma"/>
            <family val="2"/>
          </rPr>
          <t>,</t>
        </r>
        <r>
          <rPr>
            <sz val="10"/>
            <color indexed="81"/>
            <rFont val="Tahoma"/>
            <family val="2"/>
          </rPr>
          <t xml:space="preserve"> Biometrician and consultant in Forest Inventory &amp; Statistics. 
   To receive newer versions, send me an e-mail.
       </t>
        </r>
        <r>
          <rPr>
            <sz val="10"/>
            <color indexed="10"/>
            <rFont val="Tahoma"/>
            <family val="2"/>
          </rPr>
          <t xml:space="preserve">If you find this spreadsheet of use, you owe me a 
thank-you note, other than that ... it is free.  </t>
        </r>
        <r>
          <rPr>
            <sz val="10"/>
            <color indexed="81"/>
            <rFont val="Tahoma"/>
            <family val="2"/>
          </rPr>
          <t xml:space="preserve">
I am always interested in your suggestions for improvement.
</t>
        </r>
        <r>
          <rPr>
            <u/>
            <sz val="10"/>
            <color indexed="81"/>
            <rFont val="Tahoma"/>
            <family val="2"/>
          </rPr>
          <t>Earlier</t>
        </r>
        <r>
          <rPr>
            <sz val="10"/>
            <color indexed="81"/>
            <rFont val="Tahoma"/>
            <family val="2"/>
          </rPr>
          <t xml:space="preserve"> spreadsheets ~2003, contained </t>
        </r>
        <r>
          <rPr>
            <u/>
            <sz val="10"/>
            <color indexed="81"/>
            <rFont val="Tahoma"/>
            <family val="2"/>
          </rPr>
          <t>no</t>
        </r>
        <r>
          <rPr>
            <sz val="10"/>
            <color indexed="81"/>
            <rFont val="Tahoma"/>
            <family val="2"/>
          </rPr>
          <t xml:space="preserve"> known errors.
(</t>
        </r>
        <r>
          <rPr>
            <b/>
            <sz val="10"/>
            <color indexed="81"/>
            <rFont val="Tahoma"/>
            <family val="2"/>
          </rPr>
          <t>I obviously cannot be held responsible for accuracy,</t>
        </r>
        <r>
          <rPr>
            <sz val="10"/>
            <color indexed="81"/>
            <rFont val="Tahoma"/>
            <family val="2"/>
          </rPr>
          <t xml:space="preserve"> since the program can be changed locally.  If in doubt, check with me - but it is as close to accurate as I can make it).
   Kim Iles &amp; Associates Ltd.
   412 Valley Place,
   Nanaimo, BC, CANADA
       V9R 6A6
Currently: (July 2023)
        Phone &amp; FAX : (250) 616-1413
        e-mail : kiles@island.net
 (My earlier website was eliminated by my service provider)
</t>
        </r>
      </text>
    </comment>
    <comment ref="F20" authorId="0" shapeId="0" xr:uid="{00000000-0006-0000-0000-000030000000}">
      <text>
        <r>
          <rPr>
            <sz val="10"/>
            <color indexed="81"/>
            <rFont val="Tahoma"/>
            <family val="2"/>
          </rPr>
          <t xml:space="preserve">  I have removed any earlier edition macros for printing.
  The rest of the sections can be printed using EXCEL commands.  I have chosen the colors so they work with my laser black and white printer.  The print area is initially set to print a black and white version starting about line 100.
</t>
        </r>
      </text>
    </comment>
    <comment ref="G20" authorId="0" shapeId="0" xr:uid="{00000000-0006-0000-0000-000031000000}">
      <text>
        <r>
          <rPr>
            <sz val="10"/>
            <color indexed="18"/>
            <rFont val="Tahoma"/>
            <family val="2"/>
          </rPr>
          <t xml:space="preserve"> 
 There are no Macro's in this initial spreadsheet as it was distributed - </t>
        </r>
        <r>
          <rPr>
            <u/>
            <sz val="10"/>
            <color indexed="18"/>
            <rFont val="Tahoma"/>
            <family val="2"/>
          </rPr>
          <t>you</t>
        </r>
        <r>
          <rPr>
            <sz val="10"/>
            <color indexed="18"/>
            <rFont val="Tahoma"/>
            <family val="2"/>
          </rPr>
          <t xml:space="preserve"> might want to add some.  The presence of macros disturbes some people (and Microsoft 365), because they are worried about viruses.
</t>
        </r>
      </text>
    </comment>
    <comment ref="H20" authorId="0" shapeId="0" xr:uid="{00000000-0006-0000-0000-000032000000}">
      <text>
        <r>
          <rPr>
            <sz val="10"/>
            <color indexed="18"/>
            <rFont val="Tahoma"/>
            <family val="2"/>
          </rPr>
          <t xml:space="preserve"> 
  I have attempted to provide both metric and English measurements wherever possible.
  If you </t>
        </r>
        <r>
          <rPr>
            <u/>
            <sz val="10"/>
            <color indexed="18"/>
            <rFont val="Tahoma"/>
            <family val="2"/>
          </rPr>
          <t>never</t>
        </r>
        <r>
          <rPr>
            <sz val="10"/>
            <color indexed="18"/>
            <rFont val="Tahoma"/>
            <family val="2"/>
          </rPr>
          <t xml:space="preserve"> use metric (or english) just unprotect the worksheet and blank out the choices and results </t>
        </r>
        <r>
          <rPr>
            <sz val="10"/>
            <color indexed="10"/>
            <rFont val="Tahoma"/>
            <family val="2"/>
          </rPr>
          <t xml:space="preserve">(or, </t>
        </r>
        <r>
          <rPr>
            <u/>
            <sz val="10"/>
            <color indexed="10"/>
            <rFont val="Tahoma"/>
            <family val="2"/>
          </rPr>
          <t>better yet,</t>
        </r>
        <r>
          <rPr>
            <sz val="10"/>
            <color indexed="10"/>
            <rFont val="Tahoma"/>
            <family val="2"/>
          </rPr>
          <t xml:space="preserve"> make the text the same color as the background, which will keep it in case you need it later).
</t>
        </r>
      </text>
    </comment>
    <comment ref="I20" authorId="0" shapeId="0" xr:uid="{00000000-0006-0000-0000-000033000000}">
      <text>
        <r>
          <rPr>
            <sz val="10"/>
            <color indexed="18"/>
            <rFont val="Tahoma"/>
            <family val="2"/>
          </rPr>
          <t xml:space="preserve">   </t>
        </r>
        <r>
          <rPr>
            <sz val="10"/>
            <color indexed="10"/>
            <rFont val="Tahoma"/>
            <family val="2"/>
          </rPr>
          <t>If you need to refresh the spreadsheet,</t>
        </r>
        <r>
          <rPr>
            <sz val="10"/>
            <color indexed="18"/>
            <rFont val="Tahoma"/>
            <family val="2"/>
          </rPr>
          <t xml:space="preserve"> because it has been corrupted in some way, you can get a copy sent to you by simply emailing me.  
   </t>
        </r>
        <r>
          <rPr>
            <sz val="10"/>
            <color indexed="10"/>
            <rFont val="Tahoma"/>
            <family val="2"/>
          </rPr>
          <t>Do this every once in a while anyway,</t>
        </r>
        <r>
          <rPr>
            <sz val="10"/>
            <color indexed="18"/>
            <rFont val="Tahoma"/>
            <family val="2"/>
          </rPr>
          <t xml:space="preserve"> because I keep improving it.
   Give copies to whoever would like one - you have my permission.</t>
        </r>
      </text>
    </comment>
    <comment ref="C21" authorId="0" shapeId="0" xr:uid="{00000000-0006-0000-0000-000034000000}">
      <text>
        <r>
          <rPr>
            <sz val="10"/>
            <color indexed="18"/>
            <rFont val="Tahoma"/>
            <family val="2"/>
          </rPr>
          <t xml:space="preserve">  This spreadsheet is initially "protected", meaning that you can only change certain items.
  If </t>
        </r>
        <r>
          <rPr>
            <u/>
            <sz val="10"/>
            <color indexed="18"/>
            <rFont val="Tahoma"/>
            <family val="2"/>
          </rPr>
          <t>you want to make changes,</t>
        </r>
        <r>
          <rPr>
            <sz val="10"/>
            <color indexed="18"/>
            <rFont val="Tahoma"/>
            <family val="2"/>
          </rPr>
          <t xml:space="preserve"> such as eliminating all metric answers or computing English answers from the metric equivalents, </t>
        </r>
        <r>
          <rPr>
            <sz val="10"/>
            <color indexed="10"/>
            <rFont val="Tahoma"/>
            <family val="2"/>
          </rPr>
          <t>you can turn off the protection</t>
        </r>
        <r>
          <rPr>
            <sz val="10"/>
            <color indexed="18"/>
            <rFont val="Tahoma"/>
            <family val="2"/>
          </rPr>
          <t xml:space="preserve"> using :
     {Review/protect or unprotect / ... enter code}.</t>
        </r>
        <r>
          <rPr>
            <b/>
            <sz val="10"/>
            <color indexed="81"/>
            <rFont val="Tahoma"/>
            <family val="2"/>
          </rPr>
          <t xml:space="preserve">
</t>
        </r>
        <r>
          <rPr>
            <sz val="10"/>
            <color indexed="81"/>
            <rFont val="Tahoma"/>
            <family val="2"/>
          </rPr>
          <t xml:space="preserve">Then you can change titles, comments, lock some cells, use the trace funtion, etc.  You should be able to change precision in the cells while otherwise locked.
  </t>
        </r>
        <r>
          <rPr>
            <sz val="10"/>
            <color indexed="10"/>
            <rFont val="Tahoma"/>
            <family val="2"/>
          </rPr>
          <t>Afterwards, turn the protection on again</t>
        </r>
        <r>
          <rPr>
            <sz val="10"/>
            <color indexed="81"/>
            <rFont val="Tahoma"/>
            <family val="2"/>
          </rPr>
          <t xml:space="preserve"> so you do not destroy cells with equations in them by mistake.</t>
        </r>
      </text>
    </comment>
    <comment ref="D21" authorId="0" shapeId="0" xr:uid="{00000000-0006-0000-0000-000035000000}">
      <text>
        <r>
          <rPr>
            <sz val="10"/>
            <color indexed="18"/>
            <rFont val="Tahoma"/>
            <family val="2"/>
          </rPr>
          <t xml:space="preserve">1)  Enter an </t>
        </r>
        <r>
          <rPr>
            <sz val="10"/>
            <color indexed="10"/>
            <rFont val="Tahoma"/>
            <family val="2"/>
          </rPr>
          <t>initial number</t>
        </r>
        <r>
          <rPr>
            <sz val="10"/>
            <color indexed="18"/>
            <rFont val="Tahoma"/>
            <family val="2"/>
          </rPr>
          <t xml:space="preserve"> and see the results.
2)  Try an</t>
        </r>
        <r>
          <rPr>
            <sz val="10"/>
            <color indexed="10"/>
            <rFont val="Tahoma"/>
            <family val="2"/>
          </rPr>
          <t xml:space="preserve"> alternative</t>
        </r>
        <r>
          <rPr>
            <sz val="10"/>
            <color indexed="18"/>
            <rFont val="Tahoma"/>
            <family val="2"/>
          </rPr>
          <t xml:space="preserve"> </t>
        </r>
        <r>
          <rPr>
            <sz val="10"/>
            <color indexed="10"/>
            <rFont val="Tahoma"/>
            <family val="2"/>
          </rPr>
          <t>number</t>
        </r>
        <r>
          <rPr>
            <sz val="10"/>
            <color indexed="18"/>
            <rFont val="Tahoma"/>
            <family val="2"/>
          </rPr>
          <t xml:space="preserve"> to see the difference.
3)  </t>
        </r>
        <r>
          <rPr>
            <sz val="10"/>
            <color indexed="10"/>
            <rFont val="Tahoma"/>
            <family val="2"/>
          </rPr>
          <t>Use the "undo" and "redo" commands</t>
        </r>
        <r>
          <rPr>
            <sz val="10"/>
            <color indexed="18"/>
            <rFont val="Tahoma"/>
            <family val="2"/>
          </rPr>
          <t xml:space="preserve"> to change back and forth between the two answers to see the effect. </t>
        </r>
      </text>
    </comment>
    <comment ref="E21" authorId="2" shapeId="0" xr:uid="{00000000-0006-0000-0000-000036000000}">
      <text>
        <r>
          <rPr>
            <sz val="10"/>
            <color indexed="81"/>
            <rFont val="Tahoma"/>
            <family val="2"/>
          </rPr>
          <t xml:space="preserve"> 
   Learn to use the "Goal Seek" function under (currently) </t>
        </r>
        <r>
          <rPr>
            <b/>
            <sz val="10"/>
            <color indexed="81"/>
            <rFont val="Tahoma"/>
            <family val="2"/>
          </rPr>
          <t>data/what-if analysis/goal seek</t>
        </r>
        <r>
          <rPr>
            <sz val="10"/>
            <color indexed="81"/>
            <rFont val="Tahoma"/>
            <family val="2"/>
          </rPr>
          <t>.  It will automatically change one item until some other item is what you want it to be.  
   As an example, you could change the SE% until the project becomes a specific cost.</t>
        </r>
      </text>
    </comment>
    <comment ref="F21" authorId="2" shapeId="0" xr:uid="{00000000-0006-0000-0000-000037000000}">
      <text>
        <r>
          <rPr>
            <sz val="10"/>
            <color indexed="81"/>
            <rFont val="Tahoma"/>
            <family val="2"/>
          </rPr>
          <t xml:space="preserve">   If you double click the icon "documentation" {about cell K8} you will get an MSWord document that explains the program.
Also, look at "Comments" in blue Cell C20.</t>
        </r>
      </text>
    </comment>
    <comment ref="A22" authorId="1" shapeId="0" xr:uid="{00000000-0006-0000-0000-000038000000}">
      <text>
        <r>
          <rPr>
            <sz val="10"/>
            <color indexed="81"/>
            <rFont val="Tahoma"/>
            <family val="2"/>
          </rPr>
          <t xml:space="preserve">This section tells you the number of points you need to take and the number of trees that would require if you measure </t>
        </r>
        <r>
          <rPr>
            <b/>
            <sz val="10"/>
            <color indexed="81"/>
            <rFont val="Tahoma"/>
            <family val="2"/>
          </rPr>
          <t>all the trees</t>
        </r>
        <r>
          <rPr>
            <sz val="10"/>
            <color indexed="81"/>
            <rFont val="Tahoma"/>
            <family val="2"/>
          </rPr>
          <t xml:space="preserve"> on each sample point and get the desired sampling error in cell </t>
        </r>
        <r>
          <rPr>
            <b/>
            <sz val="10"/>
            <color indexed="81"/>
            <rFont val="Tahoma"/>
            <family val="2"/>
          </rPr>
          <t>D9</t>
        </r>
        <r>
          <rPr>
            <sz val="10"/>
            <color indexed="81"/>
            <rFont val="Tahoma"/>
            <family val="2"/>
          </rPr>
          <t xml:space="preserve">.  You need to specify the average tree count in cell </t>
        </r>
        <r>
          <rPr>
            <b/>
            <sz val="10"/>
            <color indexed="81"/>
            <rFont val="Tahoma"/>
            <family val="2"/>
          </rPr>
          <t>I</t>
        </r>
        <r>
          <rPr>
            <b/>
            <sz val="6"/>
            <color indexed="81"/>
            <rFont val="Tahoma"/>
            <family val="2"/>
          </rPr>
          <t xml:space="preserve"> </t>
        </r>
        <r>
          <rPr>
            <b/>
            <sz val="10"/>
            <color indexed="81"/>
            <rFont val="Tahoma"/>
            <family val="2"/>
          </rPr>
          <t>23</t>
        </r>
        <r>
          <rPr>
            <sz val="9"/>
            <color indexed="81"/>
            <rFont val="Tahoma"/>
            <family val="2"/>
          </rPr>
          <t xml:space="preserve">
</t>
        </r>
      </text>
    </comment>
    <comment ref="I23" authorId="0" shapeId="0" xr:uid="{00000000-0006-0000-0000-00003A000000}">
      <text>
        <r>
          <rPr>
            <sz val="10"/>
            <color indexed="81"/>
            <rFont val="Tahoma"/>
            <family val="2"/>
          </rPr>
          <t xml:space="preserve">  This is the </t>
        </r>
        <r>
          <rPr>
            <sz val="10"/>
            <color indexed="10"/>
            <rFont val="Tahoma"/>
            <family val="2"/>
          </rPr>
          <t>average tree count</t>
        </r>
        <r>
          <rPr>
            <sz val="10"/>
            <color indexed="81"/>
            <rFont val="Tahoma"/>
            <family val="2"/>
          </rPr>
          <t xml:space="preserve"> 
expected during the cruise.
   This is normally the same as the average tree count in H15, and in the </t>
        </r>
        <r>
          <rPr>
            <i/>
            <sz val="10"/>
            <color indexed="81"/>
            <rFont val="Tahoma"/>
            <family val="2"/>
          </rPr>
          <t>initial</t>
        </r>
        <r>
          <rPr>
            <sz val="10"/>
            <color indexed="81"/>
            <rFont val="Tahoma"/>
            <family val="2"/>
          </rPr>
          <t xml:space="preserve"> spreadsheet it just copies cell H15 automatically.</t>
        </r>
      </text>
    </comment>
    <comment ref="C24" authorId="0" shapeId="0" xr:uid="{00000000-0006-0000-0000-00003B000000}">
      <text>
        <r>
          <rPr>
            <sz val="10"/>
            <color indexed="81"/>
            <rFont val="Tahoma"/>
            <family val="2"/>
          </rPr>
          <t xml:space="preserve">This is the </t>
        </r>
        <r>
          <rPr>
            <sz val="10"/>
            <color indexed="10"/>
            <rFont val="Tahoma"/>
            <family val="2"/>
          </rPr>
          <t>number of tree counts</t>
        </r>
        <r>
          <rPr>
            <sz val="10"/>
            <color indexed="81"/>
            <rFont val="Tahoma"/>
            <family val="2"/>
          </rPr>
          <t xml:space="preserve"> you need to take to produce the SE% you entered (in D9).</t>
        </r>
      </text>
    </comment>
    <comment ref="D24" authorId="0" shapeId="0" xr:uid="{00000000-0006-0000-0000-00003C000000}">
      <text>
        <r>
          <rPr>
            <sz val="10"/>
            <color indexed="81"/>
            <rFont val="Tahoma"/>
            <family val="2"/>
          </rPr>
          <t xml:space="preserve">   This is the calculated </t>
        </r>
        <r>
          <rPr>
            <sz val="10"/>
            <color indexed="10"/>
            <rFont val="Tahoma"/>
            <family val="2"/>
          </rPr>
          <t>SE% for the basal area</t>
        </r>
        <r>
          <rPr>
            <sz val="10"/>
            <color indexed="81"/>
            <rFont val="Tahoma"/>
            <family val="2"/>
          </rPr>
          <t xml:space="preserve"> (and Tree Count) using </t>
        </r>
        <r>
          <rPr>
            <sz val="10"/>
            <color indexed="8"/>
            <rFont val="Tahoma"/>
            <family val="2"/>
          </rPr>
          <t>the</t>
        </r>
        <r>
          <rPr>
            <sz val="10"/>
            <color indexed="81"/>
            <rFont val="Tahoma"/>
            <family val="2"/>
          </rPr>
          <t xml:space="preserve"> number of sample points required to get the SE% you desired when all trees are measured on all sample points.
  Typically, it is too large in relation to the SE% for the *BAR.</t>
        </r>
      </text>
    </comment>
    <comment ref="C25" authorId="0" shapeId="0" xr:uid="{00000000-0006-0000-0000-00003D000000}">
      <text>
        <r>
          <rPr>
            <sz val="10"/>
            <color indexed="81"/>
            <rFont val="Tahoma"/>
            <family val="2"/>
          </rPr>
          <t xml:space="preserve">  This is the </t>
        </r>
        <r>
          <rPr>
            <sz val="10"/>
            <color indexed="10"/>
            <rFont val="Tahoma"/>
            <family val="2"/>
          </rPr>
          <t>number of measured trees.</t>
        </r>
        <r>
          <rPr>
            <sz val="10"/>
            <color indexed="81"/>
            <rFont val="Tahoma"/>
            <family val="2"/>
          </rPr>
          <t xml:space="preserve">  It is calculated to give the correct overall SE% (under the assumption that the CV in the first section is for *BAR of </t>
        </r>
        <r>
          <rPr>
            <u/>
            <sz val="10"/>
            <color indexed="81"/>
            <rFont val="Tahoma"/>
            <family val="2"/>
          </rPr>
          <t>trees</t>
        </r>
        <r>
          <rPr>
            <sz val="10"/>
            <color indexed="81"/>
            <rFont val="Tahoma"/>
            <family val="2"/>
          </rPr>
          <t>).  If "too many" measurements are taken (this is the usual case) it reduces the  number of plots.</t>
        </r>
        <r>
          <rPr>
            <sz val="10"/>
            <color indexed="81"/>
            <rFont val="Tahoma"/>
            <family val="2"/>
          </rPr>
          <t xml:space="preserve">
</t>
        </r>
      </text>
    </comment>
    <comment ref="D25" authorId="0" shapeId="0" xr:uid="{00000000-0006-0000-0000-00003E000000}">
      <text>
        <r>
          <rPr>
            <sz val="10"/>
            <color indexed="81"/>
            <rFont val="Tahoma"/>
            <family val="2"/>
          </rPr>
          <t xml:space="preserve">This is the </t>
        </r>
        <r>
          <rPr>
            <sz val="10"/>
            <color indexed="10"/>
            <rFont val="Tahoma"/>
            <family val="2"/>
          </rPr>
          <t>SE% for the number of measurements (*BARS) used.</t>
        </r>
        <r>
          <rPr>
            <sz val="10"/>
            <color indexed="81"/>
            <rFont val="Tahoma"/>
            <family val="2"/>
          </rPr>
          <t xml:space="preserve"> </t>
        </r>
      </text>
    </comment>
    <comment ref="D26" authorId="0" shapeId="0" xr:uid="{00000000-0006-0000-0000-00003F000000}">
      <text>
        <r>
          <rPr>
            <sz val="10"/>
            <color indexed="81"/>
            <rFont val="Tahoma"/>
            <family val="2"/>
          </rPr>
          <t xml:space="preserve">  This is the </t>
        </r>
        <r>
          <rPr>
            <sz val="10"/>
            <color indexed="10"/>
            <rFont val="Tahoma"/>
            <family val="2"/>
          </rPr>
          <t>TOTAL SE%,</t>
        </r>
        <r>
          <rPr>
            <sz val="10"/>
            <color indexed="81"/>
            <rFont val="Tahoma"/>
            <family val="2"/>
          </rPr>
          <t xml:space="preserve"> combining the two different SE%'s for BA and *BAR.  Required in section #1, cell D9.
   It is computed using "Bruce's method". </t>
        </r>
      </text>
    </comment>
    <comment ref="I26" authorId="0" shapeId="0" xr:uid="{00000000-0006-0000-0000-000040000000}">
      <text>
        <r>
          <rPr>
            <sz val="10"/>
            <color indexed="81"/>
            <rFont val="Tahoma"/>
            <family val="2"/>
          </rPr>
          <t xml:space="preserve">  This is the </t>
        </r>
        <r>
          <rPr>
            <sz val="10"/>
            <color indexed="10"/>
            <rFont val="Tahoma"/>
            <family val="2"/>
          </rPr>
          <t>cost per sample point visited.</t>
        </r>
        <r>
          <rPr>
            <sz val="10"/>
            <color indexed="81"/>
            <rFont val="Tahoma"/>
            <family val="2"/>
          </rPr>
          <t xml:space="preserve">  
  It cannot be strictly compared to the other cost per point in cell H11, since different schemes are used.  The </t>
        </r>
        <r>
          <rPr>
            <sz val="10"/>
            <color indexed="10"/>
            <rFont val="Tahoma"/>
            <family val="2"/>
          </rPr>
          <t>relative efficiency is best expressed by cell F27, or I27.</t>
        </r>
      </text>
    </comment>
    <comment ref="C27" authorId="0" shapeId="0" xr:uid="{00000000-0006-0000-0000-000041000000}">
      <text>
        <r>
          <rPr>
            <sz val="10"/>
            <color indexed="81"/>
            <rFont val="Tahoma"/>
            <family val="2"/>
          </rPr>
          <t xml:space="preserve">  This is the </t>
        </r>
        <r>
          <rPr>
            <sz val="10"/>
            <color indexed="10"/>
            <rFont val="Tahoma"/>
            <family val="2"/>
          </rPr>
          <t>total cost</t>
        </r>
        <r>
          <rPr>
            <sz val="10"/>
            <color indexed="81"/>
            <rFont val="Tahoma"/>
            <family val="2"/>
          </rPr>
          <t xml:space="preserve"> of obtaining the required SE% (cell D26) </t>
        </r>
        <r>
          <rPr>
            <sz val="10"/>
            <color indexed="10"/>
            <rFont val="Tahoma"/>
            <family val="2"/>
          </rPr>
          <t>IF</t>
        </r>
        <r>
          <rPr>
            <sz val="10"/>
            <color indexed="81"/>
            <rFont val="Tahoma"/>
            <family val="2"/>
          </rPr>
          <t xml:space="preserve"> you choose to measure </t>
        </r>
        <r>
          <rPr>
            <sz val="10"/>
            <color indexed="10"/>
            <rFont val="Tahoma"/>
            <family val="2"/>
          </rPr>
          <t>all</t>
        </r>
        <r>
          <rPr>
            <sz val="10"/>
            <color indexed="81"/>
            <rFont val="Tahoma"/>
            <family val="2"/>
          </rPr>
          <t xml:space="preserve"> the trees on </t>
        </r>
        <r>
          <rPr>
            <sz val="10"/>
            <color indexed="10"/>
            <rFont val="Tahoma"/>
            <family val="2"/>
          </rPr>
          <t>all</t>
        </r>
        <r>
          <rPr>
            <sz val="10"/>
            <color indexed="81"/>
            <rFont val="Tahoma"/>
            <family val="2"/>
          </rPr>
          <t xml:space="preserve"> the points.</t>
        </r>
      </text>
    </comment>
    <comment ref="F27" authorId="0" shapeId="0" xr:uid="{00000000-0006-0000-0000-000042000000}">
      <text>
        <r>
          <rPr>
            <sz val="10"/>
            <color indexed="81"/>
            <rFont val="Tahoma"/>
            <family val="2"/>
          </rPr>
          <t xml:space="preserve">This is the </t>
        </r>
        <r>
          <rPr>
            <sz val="10"/>
            <color indexed="10"/>
            <rFont val="Tahoma"/>
            <family val="2"/>
          </rPr>
          <t>relative cost of the "full measure" plots</t>
        </r>
        <r>
          <rPr>
            <sz val="10"/>
            <color indexed="81"/>
            <rFont val="Tahoma"/>
            <family val="2"/>
          </rPr>
          <t xml:space="preserve"> as a percentage of the optimal ratio of C:M (to get the same result).</t>
        </r>
      </text>
    </comment>
    <comment ref="I27" authorId="0" shapeId="0" xr:uid="{00000000-0006-0000-0000-000043000000}">
      <text>
        <r>
          <rPr>
            <sz val="10"/>
            <color indexed="81"/>
            <rFont val="Tahoma"/>
            <family val="2"/>
          </rPr>
          <t xml:space="preserve">  This is the </t>
        </r>
        <r>
          <rPr>
            <sz val="10"/>
            <color indexed="10"/>
            <rFont val="Tahoma"/>
            <family val="2"/>
          </rPr>
          <t>efficiency of the "full measured" option,</t>
        </r>
        <r>
          <rPr>
            <sz val="10"/>
            <color indexed="81"/>
            <rFont val="Tahoma"/>
            <family val="2"/>
          </rPr>
          <t xml:space="preserve"> as compared to the </t>
        </r>
        <r>
          <rPr>
            <i/>
            <sz val="10"/>
            <color indexed="81"/>
            <rFont val="Tahoma"/>
            <family val="2"/>
          </rPr>
          <t>optimal</t>
        </r>
        <r>
          <rPr>
            <sz val="10"/>
            <color indexed="81"/>
            <rFont val="Tahoma"/>
            <family val="2"/>
          </rPr>
          <t xml:space="preserve"> C:M ratio, (including fixed costs).  
</t>
        </r>
      </text>
    </comment>
    <comment ref="A29" authorId="0" shapeId="0" xr:uid="{00000000-0006-0000-0000-000044000000}">
      <text>
        <r>
          <rPr>
            <sz val="10"/>
            <color indexed="81"/>
            <rFont val="Tahoma"/>
            <family val="2"/>
          </rPr>
          <t xml:space="preserve">  </t>
        </r>
        <r>
          <rPr>
            <sz val="10"/>
            <color indexed="10"/>
            <rFont val="Tahoma"/>
            <family val="2"/>
          </rPr>
          <t xml:space="preserve">This section will calculate the "t-value" </t>
        </r>
        <r>
          <rPr>
            <sz val="10"/>
            <color indexed="18"/>
            <rFont val="Tahoma"/>
            <family val="2"/>
          </rPr>
          <t>for any number of observations</t>
        </r>
        <r>
          <rPr>
            <sz val="10"/>
            <color indexed="81"/>
            <rFont val="Tahoma"/>
            <family val="2"/>
          </rPr>
          <t xml:space="preserve"> and any confidence level entered in the red cells, which is easier than interpolating a standard "t table".
If you want to see a t-table, there is one reproduced starting at cell AP2 on the right margin of this spreadsheet.</t>
        </r>
      </text>
    </comment>
    <comment ref="G29" authorId="0" shapeId="0" xr:uid="{00000000-0006-0000-0000-000045000000}">
      <text>
        <r>
          <rPr>
            <sz val="10"/>
            <color indexed="81"/>
            <rFont val="Tahoma"/>
            <family val="2"/>
          </rPr>
          <t xml:space="preserve">  </t>
        </r>
        <r>
          <rPr>
            <sz val="10"/>
            <color indexed="10"/>
            <rFont val="Tahoma"/>
            <family val="2"/>
          </rPr>
          <t xml:space="preserve">These are the results that I would report if I was working with the SE% you entered into the yellow cell (D30).
               </t>
        </r>
        <r>
          <rPr>
            <b/>
            <sz val="10"/>
            <color indexed="10"/>
            <rFont val="Tahoma"/>
            <family val="2"/>
          </rPr>
          <t xml:space="preserve">  I would say:</t>
        </r>
        <r>
          <rPr>
            <sz val="10"/>
            <color indexed="12"/>
            <rFont val="Tahoma"/>
            <family val="2"/>
          </rPr>
          <t xml:space="preserve">
The current average has :
</t>
        </r>
        <r>
          <rPr>
            <u/>
            <sz val="10"/>
            <color indexed="12"/>
            <rFont val="Tahoma"/>
            <family val="2"/>
          </rPr>
          <t xml:space="preserve">about a </t>
        </r>
        <r>
          <rPr>
            <u/>
            <sz val="10"/>
            <color indexed="10"/>
            <rFont val="Tahoma"/>
            <family val="2"/>
          </rPr>
          <t>5%</t>
        </r>
        <r>
          <rPr>
            <u/>
            <sz val="10"/>
            <color indexed="12"/>
            <rFont val="Tahoma"/>
            <family val="2"/>
          </rPr>
          <t xml:space="preserve"> chance</t>
        </r>
        <r>
          <rPr>
            <sz val="10"/>
            <color indexed="12"/>
            <rFont val="Tahoma"/>
            <family val="2"/>
          </rPr>
          <t xml:space="preserve"> of being :
    </t>
        </r>
        <r>
          <rPr>
            <u/>
            <sz val="10"/>
            <color indexed="12"/>
            <rFont val="Tahoma"/>
            <family val="2"/>
          </rPr>
          <t>closer than</t>
        </r>
        <r>
          <rPr>
            <sz val="10"/>
            <color indexed="12"/>
            <rFont val="Tahoma"/>
            <family val="2"/>
          </rPr>
          <t xml:space="preserve"> {</t>
        </r>
        <r>
          <rPr>
            <i/>
            <sz val="10"/>
            <color indexed="12"/>
            <rFont val="Tahoma"/>
            <family val="2"/>
          </rPr>
          <t>enter the 5% answer</t>
        </r>
        <r>
          <rPr>
            <sz val="10"/>
            <color indexed="12"/>
            <rFont val="Tahoma"/>
            <family val="2"/>
          </rPr>
          <t xml:space="preserve">} or 
    </t>
        </r>
        <r>
          <rPr>
            <u/>
            <sz val="10"/>
            <color indexed="12"/>
            <rFont val="Tahoma"/>
            <family val="2"/>
          </rPr>
          <t>further away</t>
        </r>
        <r>
          <rPr>
            <sz val="10"/>
            <color indexed="12"/>
            <rFont val="Tahoma"/>
            <family val="2"/>
          </rPr>
          <t xml:space="preserve"> than {</t>
        </r>
        <r>
          <rPr>
            <i/>
            <sz val="10"/>
            <color indexed="12"/>
            <rFont val="Tahoma"/>
            <family val="2"/>
          </rPr>
          <t>enter the 95% answer</t>
        </r>
        <r>
          <rPr>
            <sz val="10"/>
            <color indexed="12"/>
            <rFont val="Tahoma"/>
            <family val="2"/>
          </rPr>
          <t xml:space="preserve">} 
         from the final answer, 
and has </t>
        </r>
        <r>
          <rPr>
            <u/>
            <sz val="10"/>
            <color indexed="10"/>
            <rFont val="Tahoma"/>
            <family val="2"/>
          </rPr>
          <t>about an equal chance</t>
        </r>
        <r>
          <rPr>
            <sz val="10"/>
            <color indexed="12"/>
            <rFont val="Tahoma"/>
            <family val="2"/>
          </rPr>
          <t xml:space="preserve"> of being closer or further away than {</t>
        </r>
        <r>
          <rPr>
            <i/>
            <sz val="10"/>
            <color indexed="12"/>
            <rFont val="Tahoma"/>
            <family val="2"/>
          </rPr>
          <t>enter the 50% answer</t>
        </r>
        <r>
          <rPr>
            <sz val="10"/>
            <color indexed="12"/>
            <rFont val="Tahoma"/>
            <family val="2"/>
          </rPr>
          <t xml:space="preserve">} from the final answer.  
  The "final answer" being the answer that you would get </t>
        </r>
        <r>
          <rPr>
            <i/>
            <sz val="10"/>
            <color indexed="12"/>
            <rFont val="Tahoma"/>
            <family val="2"/>
          </rPr>
          <t>if you went on sampling this way forever</t>
        </r>
        <r>
          <rPr>
            <sz val="10"/>
            <color indexed="12"/>
            <rFont val="Tahoma"/>
            <family val="2"/>
          </rPr>
          <t xml:space="preserve"> (and is the </t>
        </r>
        <r>
          <rPr>
            <u/>
            <sz val="10"/>
            <color indexed="12"/>
            <rFont val="Tahoma"/>
            <family val="2"/>
          </rPr>
          <t>correct</t>
        </r>
        <r>
          <rPr>
            <sz val="10"/>
            <color indexed="12"/>
            <rFont val="Tahoma"/>
            <family val="2"/>
          </rPr>
          <t xml:space="preserve"> answer only if there is no bias in the process).</t>
        </r>
        <r>
          <rPr>
            <sz val="10"/>
            <color indexed="81"/>
            <rFont val="Tahoma"/>
            <family val="2"/>
          </rPr>
          <t xml:space="preserve">
</t>
        </r>
      </text>
    </comment>
    <comment ref="J29" authorId="0" shapeId="0" xr:uid="{00000000-0006-0000-0000-000046000000}">
      <text>
        <r>
          <rPr>
            <sz val="10"/>
            <color indexed="81"/>
            <rFont val="Tahoma"/>
            <family val="2"/>
          </rPr>
          <t xml:space="preserve">  In case you want to see what the standard set of statements would be with the data from part 1, the </t>
        </r>
        <r>
          <rPr>
            <sz val="10"/>
            <color indexed="10"/>
            <rFont val="Tahoma"/>
            <family val="2"/>
          </rPr>
          <t>Optimal Section,</t>
        </r>
        <r>
          <rPr>
            <sz val="10"/>
            <color indexed="81"/>
            <rFont val="Tahoma"/>
            <family val="2"/>
          </rPr>
          <t xml:space="preserve"> these are reproduced for your convenience.
  </t>
        </r>
        <r>
          <rPr>
            <sz val="10"/>
            <color indexed="10"/>
            <rFont val="Tahoma"/>
            <family val="2"/>
          </rPr>
          <t>Just fill them into cell E30</t>
        </r>
        <r>
          <rPr>
            <sz val="10"/>
            <color indexed="81"/>
            <rFont val="Tahoma"/>
            <family val="2"/>
          </rPr>
          <t xml:space="preserve"> if you are interested in the results for the total or the individual parts.</t>
        </r>
      </text>
    </comment>
    <comment ref="B30" authorId="0" shapeId="0" xr:uid="{00000000-0006-0000-0000-000047000000}">
      <text>
        <r>
          <rPr>
            <sz val="10"/>
            <color indexed="81"/>
            <rFont val="Tahoma"/>
            <family val="2"/>
          </rPr>
          <t xml:space="preserve">  </t>
        </r>
        <r>
          <rPr>
            <sz val="10"/>
            <color indexed="10"/>
            <rFont val="Tahoma"/>
            <family val="2"/>
          </rPr>
          <t xml:space="preserve">Enter </t>
        </r>
        <r>
          <rPr>
            <sz val="10"/>
            <color indexed="18"/>
            <rFont val="Tahoma"/>
            <family val="2"/>
          </rPr>
          <t>the</t>
        </r>
        <r>
          <rPr>
            <sz val="10"/>
            <color indexed="10"/>
            <rFont val="Tahoma"/>
            <family val="2"/>
          </rPr>
          <t xml:space="preserve"> percent "confidence" you want.
</t>
        </r>
        <r>
          <rPr>
            <sz val="10"/>
            <color indexed="81"/>
            <rFont val="Tahoma"/>
            <family val="2"/>
          </rPr>
          <t xml:space="preserve">  For the seriously geeky, this is the 
"2-tailed" value, meaning there is 2.5% on each side of the t-value that will be shown when you put in a 95% confidence limit.  
  My own preference is to use the 50% confidence level whenever possible.</t>
        </r>
      </text>
    </comment>
    <comment ref="E30" authorId="0" shapeId="0" xr:uid="{00000000-0006-0000-0000-000048000000}">
      <text>
        <r>
          <rPr>
            <sz val="10"/>
            <color indexed="81"/>
            <rFont val="Tahoma"/>
            <family val="2"/>
          </rPr>
          <t xml:space="preserve">You can </t>
        </r>
        <r>
          <rPr>
            <sz val="10"/>
            <color indexed="10"/>
            <rFont val="Tahoma"/>
            <family val="2"/>
          </rPr>
          <t xml:space="preserve">enter any SE%  that you want.
</t>
        </r>
        <r>
          <rPr>
            <sz val="10"/>
            <color indexed="81"/>
            <rFont val="Tahoma"/>
            <family val="2"/>
          </rPr>
          <t xml:space="preserve">   </t>
        </r>
      </text>
    </comment>
    <comment ref="J30" authorId="0" shapeId="0" xr:uid="{00000000-0006-0000-0000-000049000000}">
      <text>
        <r>
          <rPr>
            <sz val="10"/>
            <color indexed="81"/>
            <rFont val="Tahoma"/>
            <family val="2"/>
          </rPr>
          <t xml:space="preserve">  This a </t>
        </r>
        <r>
          <rPr>
            <u/>
            <sz val="10"/>
            <color indexed="10"/>
            <rFont val="Tahoma"/>
            <family val="2"/>
          </rPr>
          <t>copy</t>
        </r>
        <r>
          <rPr>
            <sz val="10"/>
            <color indexed="10"/>
            <rFont val="Tahoma"/>
            <family val="2"/>
          </rPr>
          <t xml:space="preserve"> of the</t>
        </r>
        <r>
          <rPr>
            <sz val="10"/>
            <color indexed="81"/>
            <rFont val="Tahoma"/>
            <family val="2"/>
          </rPr>
          <t xml:space="preserve"> </t>
        </r>
        <r>
          <rPr>
            <sz val="10"/>
            <color indexed="10"/>
            <rFont val="Tahoma"/>
            <family val="2"/>
          </rPr>
          <t xml:space="preserve">SE% for Basal area  from section #1 </t>
        </r>
        <r>
          <rPr>
            <sz val="10"/>
            <color indexed="81"/>
            <rFont val="Tahoma"/>
            <family val="2"/>
          </rPr>
          <t xml:space="preserve">(Optimal calculation of TC vs *BAR).  
   SE% for </t>
        </r>
        <r>
          <rPr>
            <i/>
            <sz val="10"/>
            <color indexed="81"/>
            <rFont val="Tahoma"/>
            <family val="2"/>
          </rPr>
          <t>Basal Area</t>
        </r>
        <r>
          <rPr>
            <sz val="10"/>
            <color indexed="81"/>
            <rFont val="Tahoma"/>
            <family val="2"/>
          </rPr>
          <t xml:space="preserve"> and </t>
        </r>
        <r>
          <rPr>
            <i/>
            <sz val="10"/>
            <color indexed="81"/>
            <rFont val="Tahoma"/>
            <family val="2"/>
          </rPr>
          <t>Tree Count</t>
        </r>
        <r>
          <rPr>
            <sz val="10"/>
            <color indexed="81"/>
            <rFont val="Tahoma"/>
            <family val="2"/>
          </rPr>
          <t xml:space="preserve"> are, of course, the same.</t>
        </r>
      </text>
    </comment>
    <comment ref="B31" authorId="0" shapeId="0" xr:uid="{00000000-0006-0000-0000-00004A000000}">
      <text>
        <r>
          <rPr>
            <sz val="10"/>
            <color indexed="10"/>
            <rFont val="Tahoma"/>
            <family val="2"/>
          </rPr>
          <t xml:space="preserve">   Enter</t>
        </r>
        <r>
          <rPr>
            <sz val="10"/>
            <color indexed="81"/>
            <rFont val="Tahoma"/>
            <family val="2"/>
          </rPr>
          <t xml:space="preserve"> the </t>
        </r>
        <r>
          <rPr>
            <sz val="10"/>
            <color indexed="10"/>
            <rFont val="Tahoma"/>
            <family val="2"/>
          </rPr>
          <t xml:space="preserve">number of </t>
        </r>
        <r>
          <rPr>
            <b/>
            <u/>
            <sz val="10"/>
            <color indexed="10"/>
            <rFont val="Tahoma"/>
            <family val="2"/>
          </rPr>
          <t>observations</t>
        </r>
        <r>
          <rPr>
            <sz val="10"/>
            <color indexed="10"/>
            <rFont val="Tahoma"/>
            <family val="2"/>
          </rPr>
          <t xml:space="preserve"> (n).</t>
        </r>
        <r>
          <rPr>
            <sz val="10"/>
            <color indexed="81"/>
            <rFont val="Tahoma"/>
            <family val="2"/>
          </rPr>
          <t xml:space="preserve">
</t>
        </r>
        <r>
          <rPr>
            <u/>
            <sz val="10"/>
            <color indexed="81"/>
            <rFont val="Tahoma"/>
            <family val="2"/>
          </rPr>
          <t>(Not</t>
        </r>
        <r>
          <rPr>
            <sz val="10"/>
            <color indexed="81"/>
            <rFont val="Tahoma"/>
            <family val="2"/>
          </rPr>
          <t xml:space="preserve"> the "degrees of freedom, which is n-1.)</t>
        </r>
      </text>
    </comment>
    <comment ref="E31" authorId="0" shapeId="0" xr:uid="{00000000-0006-0000-0000-00004B000000}">
      <text>
        <r>
          <rPr>
            <sz val="10"/>
            <color indexed="81"/>
            <rFont val="Tahoma"/>
            <family val="2"/>
          </rPr>
          <t xml:space="preserve">  This is simply the </t>
        </r>
        <r>
          <rPr>
            <sz val="10"/>
            <color indexed="10"/>
            <rFont val="Tahoma"/>
            <family val="2"/>
          </rPr>
          <t>"t" value</t>
        </r>
        <r>
          <rPr>
            <sz val="10"/>
            <color indexed="81"/>
            <rFont val="Tahoma"/>
            <family val="2"/>
          </rPr>
          <t xml:space="preserve"> in cell B32 </t>
        </r>
        <r>
          <rPr>
            <sz val="10"/>
            <color indexed="10"/>
            <rFont val="Tahoma"/>
            <family val="2"/>
          </rPr>
          <t>times the SE%</t>
        </r>
        <r>
          <rPr>
            <sz val="10"/>
            <color indexed="81"/>
            <rFont val="Tahoma"/>
            <family val="2"/>
          </rPr>
          <t xml:space="preserve"> you entered in the gold cell above.</t>
        </r>
      </text>
    </comment>
    <comment ref="G31" authorId="0" shapeId="0" xr:uid="{00000000-0006-0000-0000-00004C000000}">
      <text>
        <r>
          <rPr>
            <sz val="10"/>
            <color indexed="81"/>
            <rFont val="Tahoma"/>
            <family val="2"/>
          </rPr>
          <t xml:space="preserve">  With the SE% from cell E30, and the sample size you entered, </t>
        </r>
        <r>
          <rPr>
            <sz val="10"/>
            <color indexed="10"/>
            <rFont val="Tahoma"/>
            <family val="2"/>
          </rPr>
          <t xml:space="preserve">there is about a 5% chance that you are actually </t>
        </r>
        <r>
          <rPr>
            <u/>
            <sz val="10"/>
            <color indexed="10"/>
            <rFont val="Tahoma"/>
            <family val="2"/>
          </rPr>
          <t>closer</t>
        </r>
        <r>
          <rPr>
            <sz val="10"/>
            <color indexed="10"/>
            <rFont val="Tahoma"/>
            <family val="2"/>
          </rPr>
          <t xml:space="preserve"> than this</t>
        </r>
        <r>
          <rPr>
            <sz val="10"/>
            <color indexed="81"/>
            <rFont val="Tahoma"/>
            <family val="2"/>
          </rPr>
          <t xml:space="preserve"> to the final answer.  </t>
        </r>
      </text>
    </comment>
    <comment ref="J31" authorId="0" shapeId="0" xr:uid="{00000000-0006-0000-0000-00004D000000}">
      <text>
        <r>
          <rPr>
            <sz val="10"/>
            <color indexed="81"/>
            <rFont val="Tahoma"/>
            <family val="2"/>
          </rPr>
          <t xml:space="preserve">  This a </t>
        </r>
        <r>
          <rPr>
            <u/>
            <sz val="10"/>
            <color indexed="10"/>
            <rFont val="Tahoma"/>
            <family val="2"/>
          </rPr>
          <t>copy</t>
        </r>
        <r>
          <rPr>
            <sz val="10"/>
            <color indexed="10"/>
            <rFont val="Tahoma"/>
            <family val="2"/>
          </rPr>
          <t xml:space="preserve"> </t>
        </r>
        <r>
          <rPr>
            <sz val="10"/>
            <color indexed="18"/>
            <rFont val="Tahoma"/>
            <family val="2"/>
          </rPr>
          <t>of the</t>
        </r>
        <r>
          <rPr>
            <sz val="10"/>
            <color indexed="10"/>
            <rFont val="Tahoma"/>
            <family val="2"/>
          </rPr>
          <t xml:space="preserve"> SE% for </t>
        </r>
        <r>
          <rPr>
            <u/>
            <sz val="10"/>
            <color indexed="10"/>
            <rFont val="Tahoma"/>
            <family val="2"/>
          </rPr>
          <t>*BAR</t>
        </r>
        <r>
          <rPr>
            <sz val="10"/>
            <color indexed="10"/>
            <rFont val="Tahoma"/>
            <family val="2"/>
          </rPr>
          <t xml:space="preserve"> </t>
        </r>
        <r>
          <rPr>
            <sz val="10"/>
            <color indexed="18"/>
            <rFont val="Tahoma"/>
            <family val="2"/>
          </rPr>
          <t xml:space="preserve">from the section on </t>
        </r>
        <r>
          <rPr>
            <sz val="10"/>
            <color indexed="81"/>
            <rFont val="Tahoma"/>
            <family val="2"/>
          </rPr>
          <t>optimal sampling.</t>
        </r>
      </text>
    </comment>
    <comment ref="C32" authorId="0" shapeId="0" xr:uid="{00000000-0006-0000-0000-00004E000000}">
      <text>
        <r>
          <rPr>
            <sz val="10"/>
            <color indexed="10"/>
            <rFont val="Tahoma"/>
            <family val="2"/>
          </rPr>
          <t xml:space="preserve">  This is the "t-value"</t>
        </r>
        <r>
          <rPr>
            <sz val="10"/>
            <color indexed="81"/>
            <rFont val="Tahoma"/>
            <family val="2"/>
          </rPr>
          <t xml:space="preserve"> for the confidence level and the number of observations you have entered.</t>
        </r>
      </text>
    </comment>
    <comment ref="G32" authorId="0" shapeId="0" xr:uid="{00000000-0006-0000-0000-00004F000000}">
      <text>
        <r>
          <rPr>
            <sz val="10"/>
            <color indexed="81"/>
            <rFont val="Tahoma"/>
            <family val="2"/>
          </rPr>
          <t xml:space="preserve">   With the SE% from Cell E30 and the sample size you entered, there is about a </t>
        </r>
        <r>
          <rPr>
            <sz val="10"/>
            <color indexed="10"/>
            <rFont val="Tahoma"/>
            <family val="2"/>
          </rPr>
          <t>50% chance</t>
        </r>
        <r>
          <rPr>
            <sz val="10"/>
            <color indexed="81"/>
            <rFont val="Tahoma"/>
            <family val="2"/>
          </rPr>
          <t xml:space="preserve"> that the </t>
        </r>
        <r>
          <rPr>
            <sz val="10"/>
            <color indexed="10"/>
            <rFont val="Tahoma"/>
            <family val="2"/>
          </rPr>
          <t>final answer is further away or closer</t>
        </r>
        <r>
          <rPr>
            <sz val="10"/>
            <color indexed="81"/>
            <rFont val="Tahoma"/>
            <family val="2"/>
          </rPr>
          <t xml:space="preserve"> than this percentage.
  This has historically been called the </t>
        </r>
        <r>
          <rPr>
            <sz val="10"/>
            <color indexed="10"/>
            <rFont val="Tahoma"/>
            <family val="2"/>
          </rPr>
          <t>"probable error".</t>
        </r>
      </text>
    </comment>
    <comment ref="J32" authorId="0" shapeId="0" xr:uid="{00000000-0006-0000-0000-000050000000}">
      <text>
        <r>
          <rPr>
            <sz val="10"/>
            <color indexed="81"/>
            <rFont val="Tahoma"/>
            <family val="2"/>
          </rPr>
          <t xml:space="preserve">  This a </t>
        </r>
        <r>
          <rPr>
            <u/>
            <sz val="10"/>
            <color indexed="10"/>
            <rFont val="Tahoma"/>
            <family val="2"/>
          </rPr>
          <t>copy</t>
        </r>
        <r>
          <rPr>
            <sz val="10"/>
            <color indexed="10"/>
            <rFont val="Tahoma"/>
            <family val="2"/>
          </rPr>
          <t xml:space="preserve"> of the </t>
        </r>
        <r>
          <rPr>
            <u/>
            <sz val="10"/>
            <color indexed="10"/>
            <rFont val="Tahoma"/>
            <family val="2"/>
          </rPr>
          <t>combined</t>
        </r>
        <r>
          <rPr>
            <sz val="10"/>
            <color indexed="10"/>
            <rFont val="Tahoma"/>
            <family val="2"/>
          </rPr>
          <t xml:space="preserve"> SE% from section #1. </t>
        </r>
        <r>
          <rPr>
            <sz val="10"/>
            <color indexed="81"/>
            <rFont val="Tahoma"/>
            <family val="2"/>
          </rPr>
          <t>(Optimal calculation of TC vs *BAR)</t>
        </r>
      </text>
    </comment>
    <comment ref="E33" authorId="0" shapeId="0" xr:uid="{00000000-0006-0000-0000-000051000000}">
      <text>
        <r>
          <rPr>
            <sz val="10"/>
            <color indexed="81"/>
            <rFont val="Tahoma"/>
            <family val="2"/>
          </rPr>
          <t xml:space="preserve">This section can be used for </t>
        </r>
        <r>
          <rPr>
            <sz val="10"/>
            <color indexed="10"/>
            <rFont val="Tahoma"/>
            <family val="2"/>
          </rPr>
          <t>computations or notes.</t>
        </r>
      </text>
    </comment>
    <comment ref="G33" authorId="0" shapeId="0" xr:uid="{00000000-0006-0000-0000-000052000000}">
      <text>
        <r>
          <rPr>
            <sz val="10"/>
            <color indexed="81"/>
            <rFont val="Tahoma"/>
            <family val="2"/>
          </rPr>
          <t xml:space="preserve">  With the SE% from Cell E30 and the sample size you entered, </t>
        </r>
        <r>
          <rPr>
            <sz val="10"/>
            <color indexed="10"/>
            <rFont val="Tahoma"/>
            <family val="2"/>
          </rPr>
          <t xml:space="preserve">there is about a 5% chance that you are actually </t>
        </r>
        <r>
          <rPr>
            <u val="double"/>
            <sz val="10"/>
            <color indexed="10"/>
            <rFont val="Tahoma"/>
            <family val="2"/>
          </rPr>
          <t>further</t>
        </r>
        <r>
          <rPr>
            <u/>
            <sz val="10"/>
            <color indexed="10"/>
            <rFont val="Tahoma"/>
            <family val="2"/>
          </rPr>
          <t xml:space="preserve"> than this</t>
        </r>
        <r>
          <rPr>
            <sz val="10"/>
            <color indexed="81"/>
            <rFont val="Tahoma"/>
            <family val="2"/>
          </rPr>
          <t xml:space="preserve"> from the final answer.
  </t>
        </r>
      </text>
    </comment>
    <comment ref="A35" authorId="1" shapeId="0" xr:uid="{00000000-0006-0000-0000-000053000000}">
      <text>
        <r>
          <rPr>
            <sz val="10"/>
            <color indexed="81"/>
            <rFont val="Tahoma"/>
            <family val="2"/>
          </rPr>
          <t>This section lets you calibrate an angle gauge (perhaps your thumb) and also calculates targets of distances to use, as well as the BAF for any plot radius factor you might want to use.</t>
        </r>
      </text>
    </comment>
    <comment ref="I37" authorId="0" shapeId="0" xr:uid="{57632E4F-CD4F-4BAC-B010-0F0A6A1A844B}">
      <text>
        <r>
          <rPr>
            <sz val="10"/>
            <color indexed="81"/>
            <rFont val="Tahoma"/>
            <family val="2"/>
          </rPr>
          <t xml:space="preserve">  </t>
        </r>
        <r>
          <rPr>
            <sz val="10"/>
            <color indexed="10"/>
            <rFont val="Tahoma"/>
            <family val="2"/>
          </rPr>
          <t xml:space="preserve">Put in convenient </t>
        </r>
        <r>
          <rPr>
            <u/>
            <sz val="10"/>
            <color indexed="10"/>
            <rFont val="Tahoma"/>
            <family val="2"/>
          </rPr>
          <t>English</t>
        </r>
        <r>
          <rPr>
            <sz val="10"/>
            <color indexed="10"/>
            <rFont val="Tahoma"/>
            <family val="2"/>
          </rPr>
          <t xml:space="preserve"> BAFs</t>
        </r>
        <r>
          <rPr>
            <sz val="10"/>
            <color indexed="81"/>
            <rFont val="Tahoma"/>
            <family val="2"/>
          </rPr>
          <t xml:space="preserve">. (English BAFs are just 4.356 * metric BAFs).  Then you can calculate distances in feet from (for example) a standard 8.5" sheet of paper on the wall to </t>
        </r>
        <r>
          <rPr>
            <sz val="10"/>
            <color indexed="10"/>
            <rFont val="Tahoma"/>
            <family val="2"/>
          </rPr>
          <t>calibrate your thumb</t>
        </r>
        <r>
          <rPr>
            <sz val="10"/>
            <color indexed="81"/>
            <rFont val="Tahoma"/>
            <family val="2"/>
          </rPr>
          <t xml:space="preserve"> for rough work. 
  If you usually use a particular prism, stand at that distance and find something to use to create that angle for approximate work (the width of 2 fingers, or your increment bore, for instance).  With your </t>
        </r>
        <r>
          <rPr>
            <sz val="10"/>
            <color indexed="10"/>
            <rFont val="Tahoma"/>
            <family val="2"/>
          </rPr>
          <t>thumb</t>
        </r>
        <r>
          <rPr>
            <sz val="10"/>
            <color indexed="81"/>
            <rFont val="Tahoma"/>
            <family val="2"/>
          </rPr>
          <t xml:space="preserve"> the measured distance is to your </t>
        </r>
        <r>
          <rPr>
            <sz val="10"/>
            <color indexed="10"/>
            <rFont val="Tahoma"/>
            <family val="2"/>
          </rPr>
          <t>EYE,</t>
        </r>
        <r>
          <rPr>
            <sz val="10"/>
            <color indexed="81"/>
            <rFont val="Tahoma"/>
            <family val="2"/>
          </rPr>
          <t xml:space="preserve"> since that is </t>
        </r>
        <r>
          <rPr>
            <b/>
            <sz val="10"/>
            <color indexed="12"/>
            <rFont val="Tahoma"/>
            <family val="2"/>
          </rPr>
          <t>the vertex of the angle</t>
        </r>
        <r>
          <rPr>
            <sz val="10"/>
            <color indexed="81"/>
            <rFont val="Tahoma"/>
            <family val="2"/>
          </rPr>
          <t xml:space="preserve"> being created.  
  With </t>
        </r>
        <r>
          <rPr>
            <sz val="10"/>
            <color indexed="10"/>
            <rFont val="Tahoma"/>
            <family val="2"/>
          </rPr>
          <t>prisms,</t>
        </r>
        <r>
          <rPr>
            <sz val="10"/>
            <color indexed="81"/>
            <rFont val="Tahoma"/>
            <family val="2"/>
          </rPr>
          <t xml:space="preserve"> the angle vertex occurs at the </t>
        </r>
        <r>
          <rPr>
            <sz val="10"/>
            <color indexed="10"/>
            <rFont val="Tahoma"/>
            <family val="2"/>
          </rPr>
          <t>prism.</t>
        </r>
        <r>
          <rPr>
            <sz val="10"/>
            <color indexed="81"/>
            <rFont val="Tahoma"/>
            <family val="2"/>
          </rPr>
          <t xml:space="preserve">  With a </t>
        </r>
        <r>
          <rPr>
            <sz val="10"/>
            <color indexed="10"/>
            <rFont val="Tahoma"/>
            <family val="2"/>
          </rPr>
          <t>Relascope,</t>
        </r>
        <r>
          <rPr>
            <sz val="10"/>
            <color indexed="81"/>
            <rFont val="Tahoma"/>
            <family val="2"/>
          </rPr>
          <t xml:space="preserve"> it is roughly at your </t>
        </r>
        <r>
          <rPr>
            <sz val="10"/>
            <color indexed="10"/>
            <rFont val="Tahoma"/>
            <family val="2"/>
          </rPr>
          <t>eye</t>
        </r>
        <r>
          <rPr>
            <sz val="10"/>
            <color indexed="81"/>
            <rFont val="Tahoma"/>
            <family val="2"/>
          </rPr>
          <t xml:space="preserve"> again.  </t>
        </r>
      </text>
    </comment>
    <comment ref="C38" authorId="0" shapeId="0" xr:uid="{00000000-0006-0000-0000-000056000000}">
      <text>
        <r>
          <rPr>
            <sz val="10"/>
            <color indexed="81"/>
            <rFont val="Tahoma"/>
            <family val="2"/>
          </rPr>
          <t xml:space="preserve">Enter the </t>
        </r>
        <r>
          <rPr>
            <sz val="10"/>
            <color indexed="10"/>
            <rFont val="Tahoma"/>
            <family val="2"/>
          </rPr>
          <t>width of the target</t>
        </r>
        <r>
          <rPr>
            <sz val="10"/>
            <color indexed="81"/>
            <rFont val="Tahoma"/>
            <family val="2"/>
          </rPr>
          <t xml:space="preserve"> 
(in inches).  A standard sheet of typing paper is 8.5 inches.</t>
        </r>
      </text>
    </comment>
    <comment ref="F38" authorId="1" shapeId="0" xr:uid="{D4E859D3-23E2-49A7-B868-9BD58F3C6970}">
      <text>
        <r>
          <rPr>
            <sz val="9"/>
            <color indexed="81"/>
            <rFont val="Tahoma"/>
            <family val="2"/>
          </rPr>
          <t>This distance as a "crossbar" at the given width will produce the BAF wanted.</t>
        </r>
      </text>
    </comment>
    <comment ref="C39" authorId="0" shapeId="0" xr:uid="{00000000-0006-0000-0000-00005A000000}">
      <text>
        <r>
          <rPr>
            <sz val="10"/>
            <color indexed="81"/>
            <rFont val="Tahoma"/>
            <family val="2"/>
          </rPr>
          <t xml:space="preserve">Enter the </t>
        </r>
        <r>
          <rPr>
            <sz val="10"/>
            <color indexed="10"/>
            <rFont val="Tahoma"/>
            <family val="2"/>
          </rPr>
          <t>distance to the target.</t>
        </r>
        <r>
          <rPr>
            <sz val="10"/>
            <color indexed="81"/>
            <rFont val="Tahoma"/>
            <family val="2"/>
          </rPr>
          <t xml:space="preserve"> 
(in the feet) to where the target seems to be "borderline".</t>
        </r>
      </text>
    </comment>
    <comment ref="E39" authorId="1" shapeId="0" xr:uid="{249A9509-B3EA-432E-8CE7-F02A5318B557}">
      <text>
        <r>
          <rPr>
            <sz val="10"/>
            <color indexed="81"/>
            <rFont val="Tahoma"/>
            <family val="2"/>
          </rPr>
          <t xml:space="preserve">The target size, as stated, if held at this distance will provide the stated BAF. </t>
        </r>
      </text>
    </comment>
    <comment ref="D40" authorId="0" shapeId="0" xr:uid="{F8A9C644-4E6C-4C33-859B-3998A14378F6}">
      <text>
        <r>
          <rPr>
            <sz val="10"/>
            <color indexed="81"/>
            <rFont val="Tahoma"/>
            <family val="2"/>
          </rPr>
          <t xml:space="preserve">  This is the </t>
        </r>
        <r>
          <rPr>
            <sz val="10"/>
            <color indexed="10"/>
            <rFont val="Tahoma"/>
            <family val="2"/>
          </rPr>
          <t xml:space="preserve">Calculated </t>
        </r>
        <r>
          <rPr>
            <u/>
            <sz val="10"/>
            <color indexed="10"/>
            <rFont val="Tahoma"/>
            <family val="2"/>
          </rPr>
          <t>English</t>
        </r>
        <r>
          <rPr>
            <sz val="10"/>
            <color indexed="10"/>
            <rFont val="Tahoma"/>
            <family val="2"/>
          </rPr>
          <t xml:space="preserve"> BAF</t>
        </r>
        <r>
          <rPr>
            <sz val="10"/>
            <color indexed="81"/>
            <rFont val="Tahoma"/>
            <family val="2"/>
          </rPr>
          <t xml:space="preserve"> of that target at that distance, in </t>
        </r>
        <r>
          <rPr>
            <sz val="10"/>
            <color indexed="10"/>
            <rFont val="Tahoma"/>
            <family val="2"/>
          </rPr>
          <t>square feet per acre.</t>
        </r>
        <r>
          <rPr>
            <sz val="10"/>
            <color indexed="81"/>
            <rFont val="Tahoma"/>
            <family val="2"/>
          </rPr>
          <t xml:space="preserve">
  </t>
        </r>
        <r>
          <rPr>
            <sz val="10"/>
            <color indexed="14"/>
            <rFont val="Tahoma"/>
            <family val="2"/>
          </rPr>
          <t xml:space="preserve">The actual BAF should be defined by the Plot Radius Factor (PRF) that is used to check borderline trees (see sub-section at lower left of this tan colored section). </t>
        </r>
        <r>
          <rPr>
            <sz val="10"/>
            <color indexed="81"/>
            <rFont val="Tahoma"/>
            <family val="2"/>
          </rPr>
          <t xml:space="preserve"> </t>
        </r>
        <r>
          <rPr>
            <i/>
            <sz val="10"/>
            <color indexed="81"/>
            <rFont val="Tahoma"/>
            <family val="2"/>
          </rPr>
          <t>If you do not check borderline trees,</t>
        </r>
        <r>
          <rPr>
            <sz val="10"/>
            <color indexed="81"/>
            <rFont val="Tahoma"/>
            <family val="2"/>
          </rPr>
          <t xml:space="preserve"> the BAF is this calculated one, and it depends on the person using the angle guage, as well as the instrument.</t>
        </r>
      </text>
    </comment>
    <comment ref="K40" authorId="2" shapeId="0" xr:uid="{00000000-0006-0000-0000-00005C000000}">
      <text>
        <r>
          <rPr>
            <sz val="10"/>
            <color indexed="81"/>
            <rFont val="Tahoma"/>
            <family val="2"/>
          </rPr>
          <t xml:space="preserve">  </t>
        </r>
        <r>
          <rPr>
            <sz val="9"/>
            <color indexed="12"/>
            <rFont val="Tahoma"/>
            <family val="2"/>
          </rPr>
          <t>The gold cells are here in case you want to make any temporary calculations.</t>
        </r>
      </text>
    </comment>
    <comment ref="C41" authorId="0" shapeId="0" xr:uid="{00000000-0006-0000-0000-00005B000000}">
      <text>
        <r>
          <rPr>
            <sz val="10"/>
            <color indexed="81"/>
            <rFont val="Tahoma"/>
            <family val="2"/>
          </rPr>
          <t xml:space="preserve">  Enter a </t>
        </r>
        <r>
          <rPr>
            <sz val="10"/>
            <color indexed="10"/>
            <rFont val="Tahoma"/>
            <family val="2"/>
          </rPr>
          <t>1</t>
        </r>
        <r>
          <rPr>
            <sz val="10"/>
            <color indexed="81"/>
            <rFont val="Tahoma"/>
            <family val="2"/>
          </rPr>
          <t xml:space="preserve"> if you are using a </t>
        </r>
        <r>
          <rPr>
            <sz val="10"/>
            <color indexed="10"/>
            <rFont val="Tahoma"/>
            <family val="2"/>
          </rPr>
          <t>flat</t>
        </r>
        <r>
          <rPr>
            <sz val="10"/>
            <color indexed="81"/>
            <rFont val="Tahoma"/>
            <family val="2"/>
          </rPr>
          <t xml:space="preserve"> target like a sheet of paper, and a </t>
        </r>
        <r>
          <rPr>
            <sz val="10"/>
            <color indexed="10"/>
            <rFont val="Tahoma"/>
            <family val="2"/>
          </rPr>
          <t>0</t>
        </r>
        <r>
          <rPr>
            <sz val="10"/>
            <color indexed="81"/>
            <rFont val="Tahoma"/>
            <family val="2"/>
          </rPr>
          <t xml:space="preserve"> if you are using a </t>
        </r>
        <r>
          <rPr>
            <sz val="10"/>
            <color indexed="10"/>
            <rFont val="Tahoma"/>
            <family val="2"/>
          </rPr>
          <t>cylinder</t>
        </r>
        <r>
          <rPr>
            <sz val="10"/>
            <color indexed="81"/>
            <rFont val="Tahoma"/>
            <family val="2"/>
          </rPr>
          <t xml:space="preserve"> as the target (easy to remember because a zero looks like a cylinder cross-section).
  This is a small correction, but you might as well use it. 
It matters with very large BAFs.</t>
        </r>
      </text>
    </comment>
    <comment ref="D41" authorId="1" shapeId="0" xr:uid="{C9220A1B-1A31-4AF8-B34A-49551341D4D7}">
      <text>
        <r>
          <rPr>
            <sz val="9"/>
            <color indexed="81"/>
            <rFont val="Tahoma"/>
            <family val="2"/>
          </rPr>
          <t xml:space="preserve">A 1.0 here is for a </t>
        </r>
        <r>
          <rPr>
            <b/>
            <u/>
            <sz val="9"/>
            <color indexed="81"/>
            <rFont val="Tahoma"/>
            <family val="2"/>
          </rPr>
          <t>flat</t>
        </r>
        <r>
          <rPr>
            <sz val="9"/>
            <color indexed="81"/>
            <rFont val="Tahoma"/>
            <family val="2"/>
          </rPr>
          <t xml:space="preserve"> target.</t>
        </r>
      </text>
    </comment>
    <comment ref="H41" authorId="0" shapeId="0" xr:uid="{00000000-0006-0000-0000-00005D000000}">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the BAF in cell F38, </t>
        </r>
        <r>
          <rPr>
            <sz val="10"/>
            <color indexed="10"/>
            <rFont val="Tahoma"/>
            <family val="2"/>
          </rPr>
          <t>in Feet per inch</t>
        </r>
        <r>
          <rPr>
            <sz val="10"/>
            <color indexed="81"/>
            <rFont val="Tahoma"/>
            <family val="2"/>
          </rPr>
          <t xml:space="preserve"> of DBH to the </t>
        </r>
        <r>
          <rPr>
            <b/>
            <sz val="10"/>
            <color indexed="81"/>
            <rFont val="Tahoma"/>
            <family val="2"/>
          </rPr>
          <t>CENTER</t>
        </r>
        <r>
          <rPr>
            <sz val="10"/>
            <color indexed="81"/>
            <rFont val="Tahoma"/>
            <family val="2"/>
          </rPr>
          <t xml:space="preserve"> of the tree.
</t>
        </r>
      </text>
    </comment>
    <comment ref="H42" authorId="0" shapeId="0" xr:uid="{00000000-0006-0000-0000-00005E000000}">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the BAF in cell F38, </t>
        </r>
        <r>
          <rPr>
            <sz val="10"/>
            <color indexed="10"/>
            <rFont val="Tahoma"/>
            <family val="2"/>
          </rPr>
          <t>in Feet per inch</t>
        </r>
        <r>
          <rPr>
            <sz val="10"/>
            <color indexed="81"/>
            <rFont val="Tahoma"/>
            <family val="2"/>
          </rPr>
          <t xml:space="preserve"> of DBH to the </t>
        </r>
        <r>
          <rPr>
            <b/>
            <sz val="10"/>
            <color indexed="81"/>
            <rFont val="Tahoma"/>
            <family val="2"/>
          </rPr>
          <t>EDGE</t>
        </r>
        <r>
          <rPr>
            <sz val="10"/>
            <color indexed="81"/>
            <rFont val="Tahoma"/>
            <family val="2"/>
          </rPr>
          <t xml:space="preserve"> of the tree.
</t>
        </r>
      </text>
    </comment>
    <comment ref="B43" authorId="0" shapeId="0" xr:uid="{00000000-0006-0000-0000-00005F000000}">
      <text>
        <r>
          <rPr>
            <sz val="10"/>
            <color indexed="81"/>
            <rFont val="Tahoma"/>
            <family val="2"/>
          </rPr>
          <t xml:space="preserve">  If you want to compute the BAF from a particular Plot Radius Factor, this section will do that.   </t>
        </r>
        <r>
          <rPr>
            <sz val="10"/>
            <color indexed="10"/>
            <rFont val="Tahoma"/>
            <family val="2"/>
          </rPr>
          <t>Enter the Plot Radius Factor you might use here. Check the amount that rounding will change the BAF.</t>
        </r>
        <r>
          <rPr>
            <sz val="10"/>
            <color indexed="81"/>
            <rFont val="Tahoma"/>
            <family val="2"/>
          </rPr>
          <t xml:space="preserve">
</t>
        </r>
        <r>
          <rPr>
            <sz val="10"/>
            <color indexed="10"/>
            <rFont val="Tahoma"/>
            <family val="2"/>
          </rPr>
          <t>The way you check borderline trees determines the exact BAF that should be used in compilations.</t>
        </r>
        <r>
          <rPr>
            <sz val="10"/>
            <color indexed="81"/>
            <rFont val="Tahoma"/>
            <family val="2"/>
          </rPr>
          <t xml:space="preserve">   If you check them with the Plot Radius Factor, using a particular number of digits, this is how you should compute the BAF for compiling the data.
  If you determine borderline trees by eye, then you should calibrate the prism for yourself, since everyone views "borderline" a bit differently.  
</t>
        </r>
      </text>
    </comment>
    <comment ref="H43" authorId="0" shapeId="0" xr:uid="{00000000-0006-0000-0000-000060000000}">
      <text>
        <r>
          <rPr>
            <sz val="10"/>
            <color indexed="10"/>
            <rFont val="Tahoma"/>
            <family val="2"/>
          </rPr>
          <t xml:space="preserve"> Enter the DBH in inches</t>
        </r>
        <r>
          <rPr>
            <sz val="10"/>
            <color indexed="81"/>
            <rFont val="Tahoma"/>
            <family val="2"/>
          </rPr>
          <t xml:space="preserve"> here (or in the cell below, and it will compute the "critical distance" where the tree is borderline.</t>
        </r>
      </text>
    </comment>
    <comment ref="D44" authorId="0" shapeId="0" xr:uid="{00000000-0006-0000-0000-000061000000}">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for a Plot Radius Factor (cell C43) measured to the </t>
        </r>
        <r>
          <rPr>
            <sz val="10"/>
            <color indexed="10"/>
            <rFont val="Tahoma"/>
            <family val="2"/>
          </rPr>
          <t>center</t>
        </r>
        <r>
          <rPr>
            <sz val="10"/>
            <color indexed="81"/>
            <rFont val="Tahoma"/>
            <family val="2"/>
          </rPr>
          <t xml:space="preserve"> of a tree in </t>
        </r>
        <r>
          <rPr>
            <sz val="10"/>
            <color indexed="10"/>
            <rFont val="Tahoma"/>
            <family val="2"/>
          </rPr>
          <t>Square feet/acre.</t>
        </r>
      </text>
    </comment>
    <comment ref="E44" authorId="0" shapeId="0" xr:uid="{00000000-0006-0000-0000-000062000000}">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for a Plot Radius Factor (cell C43) measured to the </t>
        </r>
        <r>
          <rPr>
            <sz val="10"/>
            <color indexed="10"/>
            <rFont val="Tahoma"/>
            <family val="2"/>
          </rPr>
          <t>FACE</t>
        </r>
        <r>
          <rPr>
            <sz val="10"/>
            <color indexed="81"/>
            <rFont val="Tahoma"/>
            <family val="2"/>
          </rPr>
          <t xml:space="preserve"> of a tree in </t>
        </r>
        <r>
          <rPr>
            <sz val="10"/>
            <color indexed="10"/>
            <rFont val="Tahoma"/>
            <family val="2"/>
          </rPr>
          <t>Square feet/acre.</t>
        </r>
      </text>
    </comment>
    <comment ref="G44" authorId="0" shapeId="0" xr:uid="{00000000-0006-0000-0000-000063000000}">
      <text>
        <r>
          <rPr>
            <sz val="10"/>
            <color indexed="81"/>
            <rFont val="Tahoma"/>
            <family val="2"/>
          </rPr>
          <t xml:space="preserve">  With the diameter (cell H43), and the BAF in this section (cell F38,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center</t>
        </r>
        <r>
          <rPr>
            <sz val="10"/>
            <color indexed="81"/>
            <rFont val="Tahoma"/>
            <family val="2"/>
          </rPr>
          <t xml:space="preserve"> of tree to the edge of plot, in </t>
        </r>
        <r>
          <rPr>
            <sz val="10"/>
            <color indexed="10"/>
            <rFont val="Tahoma"/>
            <family val="2"/>
          </rPr>
          <t>feet.</t>
        </r>
        <r>
          <rPr>
            <sz val="10"/>
            <color indexed="81"/>
            <rFont val="Tahoma"/>
            <family val="2"/>
          </rPr>
          <t xml:space="preserve">
  ------------------------------
  You can also calculate exact Plot Radius Factors from  BAFs you enter in one of the sections below this one.</t>
        </r>
      </text>
    </comment>
    <comment ref="D45" authorId="1" shapeId="0" xr:uid="{2B5F09D1-E287-4D6C-B016-377ED7E0CAC6}">
      <text>
        <r>
          <rPr>
            <sz val="9"/>
            <color indexed="81"/>
            <rFont val="Tahoma"/>
            <family val="2"/>
          </rPr>
          <t>Proportion of the BAF in cell I37</t>
        </r>
      </text>
    </comment>
    <comment ref="E45" authorId="1" shapeId="0" xr:uid="{C96CCCE5-B81B-427D-9BF2-ACFF9D0729AF}">
      <text>
        <r>
          <rPr>
            <sz val="9"/>
            <color indexed="81"/>
            <rFont val="Tahoma"/>
            <family val="2"/>
          </rPr>
          <t>Proportion of the BAF in cell I37</t>
        </r>
      </text>
    </comment>
    <comment ref="G45" authorId="0" shapeId="0" xr:uid="{00000000-0006-0000-0000-000064000000}">
      <text>
        <r>
          <rPr>
            <sz val="10"/>
            <color indexed="81"/>
            <rFont val="Tahoma"/>
            <family val="2"/>
          </rPr>
          <t xml:space="preserve">  With the diameter (cell H43), and the BAF in this section (cell F38,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FACE</t>
        </r>
        <r>
          <rPr>
            <sz val="10"/>
            <color indexed="81"/>
            <rFont val="Tahoma"/>
            <family val="2"/>
          </rPr>
          <t xml:space="preserve"> of tree to the edge of plot, in </t>
        </r>
        <r>
          <rPr>
            <sz val="10"/>
            <color indexed="10"/>
            <rFont val="Tahoma"/>
            <family val="2"/>
          </rPr>
          <t>feet.</t>
        </r>
        <r>
          <rPr>
            <sz val="10"/>
            <color indexed="81"/>
            <rFont val="Tahoma"/>
            <family val="2"/>
          </rPr>
          <t xml:space="preserve">
  ------------------------------
  You can also calculate exact Plot Radius Factors from  BAFs you enter in one of the sections below this one.</t>
        </r>
      </text>
    </comment>
    <comment ref="A47" authorId="1" shapeId="0" xr:uid="{BC7EB954-0FB3-4E63-AC2D-4D16C4B4F8BE}">
      <text>
        <r>
          <rPr>
            <sz val="10"/>
            <color indexed="81"/>
            <rFont val="Tahoma"/>
            <family val="2"/>
          </rPr>
          <t>This section lets you calibrate an angle gauge (perhaps your thumb) and also calculates targets of distances to use, as well as the BAF for any plot radius factor you might want to use.</t>
        </r>
      </text>
    </comment>
    <comment ref="I49" authorId="0" shapeId="0" xr:uid="{2B4FFAC9-B4D7-40DB-9818-B66E73727A5C}">
      <text>
        <r>
          <rPr>
            <sz val="10"/>
            <color indexed="81"/>
            <rFont val="Tahoma"/>
            <family val="2"/>
          </rPr>
          <t xml:space="preserve">  </t>
        </r>
        <r>
          <rPr>
            <sz val="10"/>
            <color indexed="10"/>
            <rFont val="Tahoma"/>
            <family val="2"/>
          </rPr>
          <t xml:space="preserve">Put in convenient </t>
        </r>
        <r>
          <rPr>
            <u/>
            <sz val="10"/>
            <color indexed="10"/>
            <rFont val="Tahoma"/>
            <family val="2"/>
          </rPr>
          <t>Metric</t>
        </r>
        <r>
          <rPr>
            <sz val="10"/>
            <color indexed="10"/>
            <rFont val="Tahoma"/>
            <family val="2"/>
          </rPr>
          <t xml:space="preserve"> BAFs</t>
        </r>
        <r>
          <rPr>
            <sz val="10"/>
            <color indexed="81"/>
            <rFont val="Tahoma"/>
            <family val="2"/>
          </rPr>
          <t xml:space="preserve">.  Then you can calculate distances in feet from a standard sheet of paper on the wall to </t>
        </r>
        <r>
          <rPr>
            <sz val="10"/>
            <color indexed="10"/>
            <rFont val="Tahoma"/>
            <family val="2"/>
          </rPr>
          <t>calibrate your thumb</t>
        </r>
        <r>
          <rPr>
            <sz val="10"/>
            <color indexed="81"/>
            <rFont val="Tahoma"/>
            <family val="2"/>
          </rPr>
          <t xml:space="preserve"> for rough work. 
  If you usually use a particular prism, stand at that distance and find something to use to create that angle for approximate work (the width of 2 fingers, or your increment bore, for instance).  With your </t>
        </r>
        <r>
          <rPr>
            <sz val="10"/>
            <color indexed="10"/>
            <rFont val="Tahoma"/>
            <family val="2"/>
          </rPr>
          <t>thumb</t>
        </r>
        <r>
          <rPr>
            <sz val="10"/>
            <color indexed="81"/>
            <rFont val="Tahoma"/>
            <family val="2"/>
          </rPr>
          <t xml:space="preserve"> the distance is to your EYE, since that is the vertex of the angle being created.  
  With </t>
        </r>
        <r>
          <rPr>
            <sz val="10"/>
            <color indexed="10"/>
            <rFont val="Tahoma"/>
            <family val="2"/>
          </rPr>
          <t>prisms,</t>
        </r>
        <r>
          <rPr>
            <sz val="10"/>
            <color indexed="81"/>
            <rFont val="Tahoma"/>
            <family val="2"/>
          </rPr>
          <t xml:space="preserve"> the vertex occurs at the prism.  With a </t>
        </r>
        <r>
          <rPr>
            <sz val="10"/>
            <color indexed="10"/>
            <rFont val="Tahoma"/>
            <family val="2"/>
          </rPr>
          <t>Relascope,</t>
        </r>
        <r>
          <rPr>
            <sz val="10"/>
            <color indexed="81"/>
            <rFont val="Tahoma"/>
            <family val="2"/>
          </rPr>
          <t xml:space="preserve"> it is roughly at your eye again.  </t>
        </r>
      </text>
    </comment>
    <comment ref="C50" authorId="0" shapeId="0" xr:uid="{31641332-A840-4048-9BCB-5994079F1D73}">
      <text>
        <r>
          <rPr>
            <sz val="10"/>
            <color indexed="81"/>
            <rFont val="Tahoma"/>
            <family val="2"/>
          </rPr>
          <t xml:space="preserve">Enter the </t>
        </r>
        <r>
          <rPr>
            <sz val="10"/>
            <color indexed="10"/>
            <rFont val="Tahoma"/>
            <family val="2"/>
          </rPr>
          <t>width of the target</t>
        </r>
        <r>
          <rPr>
            <sz val="10"/>
            <color indexed="81"/>
            <rFont val="Tahoma"/>
            <family val="2"/>
          </rPr>
          <t xml:space="preserve"> 
(in centimeters)</t>
        </r>
      </text>
    </comment>
    <comment ref="C51" authorId="0" shapeId="0" xr:uid="{17E7FD2F-3528-4459-AE1E-90A3B0433D19}">
      <text>
        <r>
          <rPr>
            <sz val="10"/>
            <color indexed="81"/>
            <rFont val="Tahoma"/>
            <family val="2"/>
          </rPr>
          <t xml:space="preserve">Enter the </t>
        </r>
        <r>
          <rPr>
            <sz val="10"/>
            <color indexed="10"/>
            <rFont val="Tahoma"/>
            <family val="2"/>
          </rPr>
          <t>distance to the target.</t>
        </r>
        <r>
          <rPr>
            <sz val="10"/>
            <color indexed="81"/>
            <rFont val="Tahoma"/>
            <family val="2"/>
          </rPr>
          <t xml:space="preserve"> 
(in meters)</t>
        </r>
      </text>
    </comment>
    <comment ref="D52" authorId="0" shapeId="0" xr:uid="{AE747419-6577-4B86-B5ED-EE07C887C8A1}">
      <text>
        <r>
          <rPr>
            <sz val="10"/>
            <color indexed="81"/>
            <rFont val="Tahoma"/>
            <family val="2"/>
          </rPr>
          <t xml:space="preserve">  This is the </t>
        </r>
        <r>
          <rPr>
            <sz val="10"/>
            <color indexed="10"/>
            <rFont val="Tahoma"/>
            <family val="2"/>
          </rPr>
          <t xml:space="preserve">Calculated </t>
        </r>
        <r>
          <rPr>
            <u/>
            <sz val="10"/>
            <color indexed="10"/>
            <rFont val="Tahoma"/>
            <family val="2"/>
          </rPr>
          <t>METRIC</t>
        </r>
        <r>
          <rPr>
            <sz val="10"/>
            <color indexed="10"/>
            <rFont val="Tahoma"/>
            <family val="2"/>
          </rPr>
          <t xml:space="preserve"> BAF</t>
        </r>
        <r>
          <rPr>
            <sz val="10"/>
            <color indexed="81"/>
            <rFont val="Tahoma"/>
            <family val="2"/>
          </rPr>
          <t xml:space="preserve"> of that target at that distance, in </t>
        </r>
        <r>
          <rPr>
            <sz val="10"/>
            <color indexed="10"/>
            <rFont val="Tahoma"/>
            <family val="2"/>
          </rPr>
          <t>square meters per hectare.</t>
        </r>
        <r>
          <rPr>
            <sz val="10"/>
            <color indexed="81"/>
            <rFont val="Tahoma"/>
            <family val="2"/>
          </rPr>
          <t xml:space="preserve">
  </t>
        </r>
        <r>
          <rPr>
            <sz val="10"/>
            <color indexed="14"/>
            <rFont val="Tahoma"/>
            <family val="2"/>
          </rPr>
          <t xml:space="preserve">The actual BAF should be defined by the Plot Radius Factor (PRF) that is used to check borderline trees (see part at bottom that calculates this). </t>
        </r>
        <r>
          <rPr>
            <sz val="10"/>
            <color indexed="81"/>
            <rFont val="Tahoma"/>
            <family val="2"/>
          </rPr>
          <t xml:space="preserve"> </t>
        </r>
        <r>
          <rPr>
            <i/>
            <sz val="10"/>
            <color indexed="81"/>
            <rFont val="Tahoma"/>
            <family val="2"/>
          </rPr>
          <t>If you do not check borderline trees,</t>
        </r>
        <r>
          <rPr>
            <sz val="10"/>
            <color indexed="81"/>
            <rFont val="Tahoma"/>
            <family val="2"/>
          </rPr>
          <t xml:space="preserve"> the BAF is this calibrated one, and it depends on the person using the angle guage, as well as the instrument.</t>
        </r>
      </text>
    </comment>
    <comment ref="K52" authorId="2" shapeId="0" xr:uid="{520E7BE0-B422-4217-8296-7217B87454C2}">
      <text>
        <r>
          <rPr>
            <sz val="10"/>
            <color indexed="81"/>
            <rFont val="Tahoma"/>
            <family val="2"/>
          </rPr>
          <t xml:space="preserve">  </t>
        </r>
        <r>
          <rPr>
            <sz val="9"/>
            <color indexed="12"/>
            <rFont val="Tahoma"/>
            <family val="2"/>
          </rPr>
          <t>The gold cells are here in case you want to make any temporary calculations.</t>
        </r>
      </text>
    </comment>
    <comment ref="C53" authorId="0" shapeId="0" xr:uid="{7FEE154A-5072-412A-8493-E60B215E487B}">
      <text>
        <r>
          <rPr>
            <sz val="10"/>
            <color indexed="81"/>
            <rFont val="Tahoma"/>
            <family val="2"/>
          </rPr>
          <t xml:space="preserve">  Enter a </t>
        </r>
        <r>
          <rPr>
            <sz val="10"/>
            <color indexed="10"/>
            <rFont val="Tahoma"/>
            <family val="2"/>
          </rPr>
          <t>1</t>
        </r>
        <r>
          <rPr>
            <sz val="10"/>
            <color indexed="81"/>
            <rFont val="Tahoma"/>
            <family val="2"/>
          </rPr>
          <t xml:space="preserve"> if you are using a </t>
        </r>
        <r>
          <rPr>
            <sz val="10"/>
            <color indexed="10"/>
            <rFont val="Tahoma"/>
            <family val="2"/>
          </rPr>
          <t>flat</t>
        </r>
        <r>
          <rPr>
            <sz val="10"/>
            <color indexed="81"/>
            <rFont val="Tahoma"/>
            <family val="2"/>
          </rPr>
          <t xml:space="preserve"> target like a sheet of paper, and a </t>
        </r>
        <r>
          <rPr>
            <sz val="10"/>
            <color indexed="10"/>
            <rFont val="Tahoma"/>
            <family val="2"/>
          </rPr>
          <t>0</t>
        </r>
        <r>
          <rPr>
            <sz val="10"/>
            <color indexed="81"/>
            <rFont val="Tahoma"/>
            <family val="2"/>
          </rPr>
          <t xml:space="preserve"> if you are using a </t>
        </r>
        <r>
          <rPr>
            <sz val="10"/>
            <color indexed="10"/>
            <rFont val="Tahoma"/>
            <family val="2"/>
          </rPr>
          <t>cylinder</t>
        </r>
        <r>
          <rPr>
            <sz val="10"/>
            <color indexed="81"/>
            <rFont val="Tahoma"/>
            <family val="2"/>
          </rPr>
          <t xml:space="preserve"> as the target (easy to remember because a zero looks like a cylinder cross-section).
  This is a small correction, but you might as well use it. 
It matters with very large BAFs.</t>
        </r>
      </text>
    </comment>
    <comment ref="H53" authorId="0" shapeId="0" xr:uid="{00000000-0006-0000-0000-00006E000000}">
      <text>
        <r>
          <rPr>
            <i/>
            <sz val="10"/>
            <color indexed="81"/>
            <rFont val="Tahoma"/>
            <family val="2"/>
          </rPr>
          <t xml:space="preserve">This is the </t>
        </r>
        <r>
          <rPr>
            <i/>
            <u/>
            <sz val="10"/>
            <color indexed="81"/>
            <rFont val="Tahoma"/>
            <family val="2"/>
          </rPr>
          <t>metric</t>
        </r>
        <r>
          <rPr>
            <i/>
            <sz val="10"/>
            <color indexed="10"/>
            <rFont val="Tahoma"/>
            <family val="2"/>
          </rPr>
          <t xml:space="preserve"> Plot Radius Factor</t>
        </r>
        <r>
          <rPr>
            <i/>
            <sz val="10"/>
            <color indexed="81"/>
            <rFont val="Tahoma"/>
            <family val="2"/>
          </rPr>
          <t xml:space="preserve"> for a  BAF in cell F51, from the </t>
        </r>
        <r>
          <rPr>
            <b/>
            <i/>
            <sz val="10"/>
            <color indexed="81"/>
            <rFont val="Tahoma"/>
            <family val="2"/>
          </rPr>
          <t>CENTER</t>
        </r>
        <r>
          <rPr>
            <i/>
            <sz val="10"/>
            <color indexed="81"/>
            <rFont val="Tahoma"/>
            <family val="2"/>
          </rPr>
          <t xml:space="preserve"> of the tree in </t>
        </r>
        <r>
          <rPr>
            <i/>
            <sz val="10"/>
            <color indexed="10"/>
            <rFont val="Tahoma"/>
            <family val="2"/>
          </rPr>
          <t>metres per centimeter</t>
        </r>
        <r>
          <rPr>
            <i/>
            <sz val="10"/>
            <color indexed="81"/>
            <rFont val="Tahoma"/>
            <family val="2"/>
          </rPr>
          <t xml:space="preserve"> of DBH.</t>
        </r>
      </text>
    </comment>
    <comment ref="B55" authorId="0" shapeId="0" xr:uid="{00000000-0006-0000-0000-00006F000000}">
      <text>
        <r>
          <rPr>
            <sz val="10"/>
            <color indexed="81"/>
            <rFont val="Tahoma"/>
            <family val="2"/>
          </rPr>
          <t xml:space="preserve">  If you want to compute the BAF from a particular Plot Radius Factor, this section will do that.   </t>
        </r>
        <r>
          <rPr>
            <sz val="10"/>
            <color indexed="10"/>
            <rFont val="Tahoma"/>
            <family val="2"/>
          </rPr>
          <t>Enter the Plot Radius Factor you might use here. Check the amount that rounding will change the BAF.</t>
        </r>
        <r>
          <rPr>
            <sz val="10"/>
            <color indexed="81"/>
            <rFont val="Tahoma"/>
            <family val="2"/>
          </rPr>
          <t xml:space="preserve">
</t>
        </r>
        <r>
          <rPr>
            <sz val="10"/>
            <color indexed="10"/>
            <rFont val="Tahoma"/>
            <family val="2"/>
          </rPr>
          <t>The way you check borderline trees determines the exact BAF that should be used in compilations.</t>
        </r>
        <r>
          <rPr>
            <sz val="10"/>
            <color indexed="81"/>
            <rFont val="Tahoma"/>
            <family val="2"/>
          </rPr>
          <t xml:space="preserve">   If you check them with the Plot Radius Factor, using a particular number of digits, this is how you should compute the BAF for compiling the data.
  If you determine borderline trees by eye, then you should calibrate the prism for yourself, since everyone views "borderline" a bit differently.  
</t>
        </r>
      </text>
    </comment>
    <comment ref="H55" authorId="0" shapeId="0" xr:uid="{5DB3ACCF-0FC7-456E-B41E-B88EB873115C}">
      <text>
        <r>
          <rPr>
            <sz val="10"/>
            <color indexed="10"/>
            <rFont val="Tahoma"/>
            <family val="2"/>
          </rPr>
          <t xml:space="preserve"> Enter the DBH in cm</t>
        </r>
        <r>
          <rPr>
            <sz val="10"/>
            <color indexed="81"/>
            <rFont val="Tahoma"/>
            <family val="2"/>
          </rPr>
          <t xml:space="preserve"> here (or in the cell below, and it will compute the "critical distance" where the tree is borderline.</t>
        </r>
      </text>
    </comment>
    <comment ref="D56" authorId="0" shapeId="0" xr:uid="{00000000-0006-0000-0000-000071000000}">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center</t>
        </r>
        <r>
          <rPr>
            <sz val="10"/>
            <color indexed="81"/>
            <rFont val="Tahoma"/>
            <family val="2"/>
          </rPr>
          <t xml:space="preserve"> of a tree in </t>
        </r>
        <r>
          <rPr>
            <sz val="10"/>
            <color indexed="10"/>
            <rFont val="Tahoma"/>
            <family val="2"/>
          </rPr>
          <t>Square metres / hectare.</t>
        </r>
      </text>
    </comment>
    <comment ref="E56" authorId="0" shapeId="0" xr:uid="{00000000-0006-0000-0000-000072000000}">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FACE</t>
        </r>
        <r>
          <rPr>
            <sz val="10"/>
            <color indexed="81"/>
            <rFont val="Tahoma"/>
            <family val="2"/>
          </rPr>
          <t xml:space="preserve"> of a tree in </t>
        </r>
        <r>
          <rPr>
            <sz val="10"/>
            <color indexed="10"/>
            <rFont val="Tahoma"/>
            <family val="2"/>
          </rPr>
          <t>Square metres per hectare.</t>
        </r>
      </text>
    </comment>
    <comment ref="G56" authorId="0" shapeId="0" xr:uid="{00000000-0006-0000-0000-000073000000}">
      <text>
        <r>
          <rPr>
            <sz val="10"/>
            <color indexed="81"/>
            <rFont val="Tahoma"/>
            <family val="2"/>
          </rPr>
          <t xml:space="preserve">  With the diameter (cell H55), and the BAF in this section (cell F51,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CENTER</t>
        </r>
        <r>
          <rPr>
            <sz val="10"/>
            <color indexed="81"/>
            <rFont val="Tahoma"/>
            <family val="2"/>
          </rPr>
          <t xml:space="preserve"> of tree to the edge of plot, in </t>
        </r>
        <r>
          <rPr>
            <sz val="10"/>
            <color indexed="10"/>
            <rFont val="Tahoma"/>
            <family val="2"/>
          </rPr>
          <t>meters.</t>
        </r>
        <r>
          <rPr>
            <sz val="10"/>
            <color indexed="81"/>
            <rFont val="Tahoma"/>
            <family val="2"/>
          </rPr>
          <t xml:space="preserve">
  ------------------------------
  You can also calculate exact Plot Radius Factors from  BAFs you enter in one of the section 6.</t>
        </r>
      </text>
    </comment>
    <comment ref="D57" authorId="1" shapeId="0" xr:uid="{3E04DD96-9101-480E-9817-9DA914762F06}">
      <text>
        <r>
          <rPr>
            <sz val="9"/>
            <color indexed="81"/>
            <rFont val="Tahoma"/>
            <family val="2"/>
          </rPr>
          <t xml:space="preserve">Proportion of the BAF in cell I49
</t>
        </r>
      </text>
    </comment>
    <comment ref="E57" authorId="1" shapeId="0" xr:uid="{0D913D63-EE0B-49B5-9681-741A5A5AAEFD}">
      <text>
        <r>
          <rPr>
            <sz val="9"/>
            <color indexed="81"/>
            <rFont val="Tahoma"/>
            <family val="2"/>
          </rPr>
          <t xml:space="preserve">Proportion of the BAF in cell I49
</t>
        </r>
      </text>
    </comment>
    <comment ref="G57" authorId="0" shapeId="0" xr:uid="{00000000-0006-0000-0000-000074000000}">
      <text>
        <r>
          <rPr>
            <sz val="10"/>
            <color indexed="81"/>
            <rFont val="Tahoma"/>
            <family val="2"/>
          </rPr>
          <t xml:space="preserve">  With the diameter (cell H55), and the BAF in this section (cell F51,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FACE</t>
        </r>
        <r>
          <rPr>
            <sz val="10"/>
            <color indexed="81"/>
            <rFont val="Tahoma"/>
            <family val="2"/>
          </rPr>
          <t xml:space="preserve"> of tree to the edge of plot, in </t>
        </r>
        <r>
          <rPr>
            <sz val="10"/>
            <color indexed="10"/>
            <rFont val="Tahoma"/>
            <family val="2"/>
          </rPr>
          <t>meters.</t>
        </r>
        <r>
          <rPr>
            <sz val="10"/>
            <color indexed="81"/>
            <rFont val="Tahoma"/>
            <family val="2"/>
          </rPr>
          <t xml:space="preserve">
  ------------------------------
  You can also calculate exact Plot Radius Factors from  BAFs you enter in one of the section 6.</t>
        </r>
      </text>
    </comment>
    <comment ref="A60" authorId="1" shapeId="0" xr:uid="{00000000-0006-0000-0000-000075000000}">
      <text>
        <r>
          <rPr>
            <sz val="10"/>
            <color indexed="81"/>
            <rFont val="Tahoma"/>
            <family val="2"/>
          </rPr>
          <t xml:space="preserve">This section allow you to calculate the values for a particular BAF you enter.
</t>
        </r>
      </text>
    </comment>
    <comment ref="B62" authorId="0" shapeId="0" xr:uid="{00000000-0006-0000-0000-000076000000}">
      <text>
        <r>
          <rPr>
            <sz val="10"/>
            <color indexed="81"/>
            <rFont val="Tahoma"/>
            <family val="2"/>
          </rPr>
          <t xml:space="preserve">  </t>
        </r>
        <r>
          <rPr>
            <sz val="10"/>
            <color indexed="10"/>
            <rFont val="Tahoma"/>
            <family val="2"/>
          </rPr>
          <t>Enter</t>
        </r>
        <r>
          <rPr>
            <sz val="10"/>
            <color indexed="81"/>
            <rFont val="Tahoma"/>
            <family val="2"/>
          </rPr>
          <t xml:space="preserve">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t>
        </r>
        <r>
          <rPr>
            <sz val="10"/>
            <color indexed="10"/>
            <rFont val="Tahoma"/>
            <family val="2"/>
          </rPr>
          <t xml:space="preserve">in square feet per acre.
</t>
        </r>
      </text>
    </comment>
    <comment ref="E62" authorId="0" shapeId="0" xr:uid="{00000000-0006-0000-0000-000077000000}">
      <text>
        <r>
          <rPr>
            <sz val="10"/>
            <color indexed="81"/>
            <rFont val="Tahoma"/>
            <family val="2"/>
          </rPr>
          <t xml:space="preserve">  Enter any </t>
        </r>
        <r>
          <rPr>
            <sz val="10"/>
            <color indexed="10"/>
            <rFont val="Tahoma"/>
            <family val="2"/>
          </rPr>
          <t>DBH in inches</t>
        </r>
        <r>
          <rPr>
            <sz val="10"/>
            <color indexed="81"/>
            <rFont val="Tahoma"/>
            <family val="2"/>
          </rPr>
          <t xml:space="preserve"> for which you want a critical distance.</t>
        </r>
      </text>
    </comment>
    <comment ref="H63" authorId="0" shapeId="0" xr:uid="{00000000-0006-0000-0000-000078000000}">
      <text>
        <r>
          <rPr>
            <sz val="10"/>
            <color indexed="81"/>
            <rFont val="Tahoma"/>
            <family val="2"/>
          </rPr>
          <t xml:space="preserve">  This is the </t>
        </r>
        <r>
          <rPr>
            <sz val="10"/>
            <color indexed="10"/>
            <rFont val="Tahoma"/>
            <family val="2"/>
          </rPr>
          <t xml:space="preserve">area of the plot </t>
        </r>
        <r>
          <rPr>
            <sz val="10"/>
            <color indexed="18"/>
            <rFont val="Tahoma"/>
            <family val="2"/>
          </rPr>
          <t>around that tree, in</t>
        </r>
        <r>
          <rPr>
            <sz val="10"/>
            <color indexed="81"/>
            <rFont val="Tahoma"/>
            <family val="2"/>
          </rPr>
          <t xml:space="preserve"> </t>
        </r>
        <r>
          <rPr>
            <sz val="10"/>
            <color indexed="10"/>
            <rFont val="Tahoma"/>
            <family val="2"/>
          </rPr>
          <t>acres,</t>
        </r>
        <r>
          <rPr>
            <sz val="10"/>
            <color indexed="81"/>
            <rFont val="Tahoma"/>
            <family val="2"/>
          </rPr>
          <t xml:space="preserve"> using the DBH and BAF entered.</t>
        </r>
      </text>
    </comment>
    <comment ref="K63" authorId="2" shapeId="0" xr:uid="{00000000-0006-0000-0000-000079000000}">
      <text>
        <r>
          <rPr>
            <sz val="10"/>
            <color indexed="81"/>
            <rFont val="Tahoma"/>
            <family val="2"/>
          </rPr>
          <t xml:space="preserve">  </t>
        </r>
        <r>
          <rPr>
            <sz val="9"/>
            <color indexed="12"/>
            <rFont val="Tahoma"/>
            <family val="2"/>
          </rPr>
          <t>The gold cell below is here in case you want to make any temporary calculations.</t>
        </r>
      </text>
    </comment>
    <comment ref="D65" authorId="0" shapeId="0" xr:uid="{00000000-0006-0000-0000-00007A000000}">
      <text>
        <r>
          <rPr>
            <sz val="10"/>
            <color indexed="81"/>
            <rFont val="Tahoma"/>
            <family val="2"/>
          </rPr>
          <t xml:space="preserve">This is the "Blow-up" Factor of the ENGLISH BAF in cell </t>
        </r>
        <r>
          <rPr>
            <sz val="10"/>
            <color indexed="10"/>
            <rFont val="Tahoma"/>
            <family val="2"/>
          </rPr>
          <t>C62</t>
        </r>
        <r>
          <rPr>
            <sz val="10"/>
            <color indexed="81"/>
            <rFont val="Tahoma"/>
            <family val="2"/>
          </rPr>
          <t xml:space="preserve">.
This is the number of times larger the </t>
        </r>
        <r>
          <rPr>
            <sz val="10"/>
            <color indexed="10"/>
            <rFont val="Tahoma"/>
            <family val="2"/>
          </rPr>
          <t>area of the plot</t>
        </r>
        <r>
          <rPr>
            <sz val="10"/>
            <color indexed="81"/>
            <rFont val="Tahoma"/>
            <family val="2"/>
          </rPr>
          <t xml:space="preserve"> around the tree is than the basal area of </t>
        </r>
        <r>
          <rPr>
            <sz val="10"/>
            <color indexed="10"/>
            <rFont val="Tahoma"/>
            <family val="2"/>
          </rPr>
          <t>the tree</t>
        </r>
        <r>
          <rPr>
            <sz val="10"/>
            <color indexed="81"/>
            <rFont val="Tahoma"/>
            <family val="2"/>
          </rPr>
          <t xml:space="preserve"> itself.  It is constant for any particular angle used.</t>
        </r>
      </text>
    </comment>
    <comment ref="F65" authorId="0" shapeId="0" xr:uid="{00000000-0006-0000-0000-00007B000000}">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that BAF, to the </t>
        </r>
        <r>
          <rPr>
            <u/>
            <sz val="10"/>
            <color indexed="10"/>
            <rFont val="Tahoma"/>
            <family val="2"/>
          </rPr>
          <t>center</t>
        </r>
        <r>
          <rPr>
            <sz val="10"/>
            <color indexed="81"/>
            <rFont val="Tahoma"/>
            <family val="2"/>
          </rPr>
          <t xml:space="preserve"> of the tree, in </t>
        </r>
        <r>
          <rPr>
            <sz val="10"/>
            <color indexed="10"/>
            <rFont val="Tahoma"/>
            <family val="2"/>
          </rPr>
          <t xml:space="preserve">feet per inch of DBH.
</t>
        </r>
        <r>
          <rPr>
            <sz val="10"/>
            <color indexed="18"/>
            <rFont val="Tahoma"/>
            <family val="2"/>
          </rPr>
          <t xml:space="preserve">  Note that the PRF to the </t>
        </r>
        <r>
          <rPr>
            <i/>
            <sz val="10"/>
            <color indexed="18"/>
            <rFont val="Tahoma"/>
            <family val="2"/>
          </rPr>
          <t>face</t>
        </r>
        <r>
          <rPr>
            <sz val="10"/>
            <color indexed="18"/>
            <rFont val="Tahoma"/>
            <family val="2"/>
          </rPr>
          <t xml:space="preserve"> of the tree is also computed in the cell below.</t>
        </r>
      </text>
    </comment>
    <comment ref="H65" authorId="0" shapeId="0" xr:uid="{00000000-0006-0000-0000-00007C000000}">
      <text>
        <r>
          <rPr>
            <sz val="10"/>
            <color indexed="81"/>
            <rFont val="Tahoma"/>
            <family val="2"/>
          </rPr>
          <t xml:space="preserve">  This is the </t>
        </r>
        <r>
          <rPr>
            <sz val="10"/>
            <color indexed="10"/>
            <rFont val="Tahoma"/>
            <family val="2"/>
          </rPr>
          <t>"critical distance"</t>
        </r>
        <r>
          <rPr>
            <sz val="10"/>
            <color indexed="81"/>
            <rFont val="Tahoma"/>
            <family val="2"/>
          </rPr>
          <t xml:space="preserve"> from the </t>
        </r>
        <r>
          <rPr>
            <u/>
            <sz val="10"/>
            <color indexed="81"/>
            <rFont val="Tahoma"/>
            <family val="2"/>
          </rPr>
          <t>center</t>
        </r>
        <r>
          <rPr>
            <sz val="10"/>
            <color indexed="81"/>
            <rFont val="Tahoma"/>
            <family val="2"/>
          </rPr>
          <t xml:space="preserve"> of the tree to the edge of the plot around that tree, </t>
        </r>
        <r>
          <rPr>
            <sz val="10"/>
            <color indexed="10"/>
            <rFont val="Tahoma"/>
            <family val="2"/>
          </rPr>
          <t>in feet</t>
        </r>
        <r>
          <rPr>
            <sz val="10"/>
            <color indexed="81"/>
            <rFont val="Tahoma"/>
            <family val="2"/>
          </rPr>
          <t xml:space="preserve"> using the BAF and DBH given.</t>
        </r>
      </text>
    </comment>
    <comment ref="C66" authorId="2" shapeId="0" xr:uid="{00000000-0006-0000-0000-00007D000000}">
      <text>
        <r>
          <rPr>
            <sz val="10"/>
            <color indexed="81"/>
            <rFont val="Tahoma"/>
            <family val="2"/>
          </rPr>
          <t>This is the angle for the selection of the tree, in degrees, for the BAF you have entered.</t>
        </r>
      </text>
    </comment>
    <comment ref="F66" authorId="0" shapeId="0" xr:uid="{00000000-0006-0000-0000-00007E000000}">
      <text>
        <r>
          <rPr>
            <sz val="10"/>
            <color indexed="81"/>
            <rFont val="Tahoma"/>
            <family val="2"/>
          </rPr>
          <t xml:space="preserve">  This is the </t>
        </r>
        <r>
          <rPr>
            <sz val="10"/>
            <color indexed="10"/>
            <rFont val="Tahoma"/>
            <family val="2"/>
          </rPr>
          <t>Plot Radius Factor,</t>
        </r>
        <r>
          <rPr>
            <sz val="10"/>
            <color indexed="81"/>
            <rFont val="Tahoma"/>
            <family val="2"/>
          </rPr>
          <t xml:space="preserve"> in </t>
        </r>
        <r>
          <rPr>
            <sz val="10"/>
            <color indexed="10"/>
            <rFont val="Tahoma"/>
            <family val="2"/>
          </rPr>
          <t>Feet per inch</t>
        </r>
        <r>
          <rPr>
            <sz val="10"/>
            <color indexed="81"/>
            <rFont val="Tahoma"/>
            <family val="2"/>
          </rPr>
          <t xml:space="preserve"> of DBH, from the </t>
        </r>
        <r>
          <rPr>
            <u/>
            <sz val="10"/>
            <color indexed="10"/>
            <rFont val="Tahoma"/>
            <family val="2"/>
          </rPr>
          <t>FACE</t>
        </r>
        <r>
          <rPr>
            <sz val="10"/>
            <color indexed="81"/>
            <rFont val="Tahoma"/>
            <family val="2"/>
          </rPr>
          <t xml:space="preserve"> of the tree to the edge of the plot around that tree.</t>
        </r>
      </text>
    </comment>
    <comment ref="H66" authorId="1" shapeId="0" xr:uid="{00000000-0006-0000-0000-00007F000000}">
      <text>
        <r>
          <rPr>
            <sz val="10"/>
            <color indexed="81"/>
            <rFont val="Tahoma"/>
            <family val="2"/>
          </rPr>
          <t xml:space="preserve">Distance from the </t>
        </r>
        <r>
          <rPr>
            <u/>
            <sz val="10"/>
            <color indexed="81"/>
            <rFont val="Tahoma"/>
            <family val="2"/>
          </rPr>
          <t>face</t>
        </r>
        <r>
          <rPr>
            <sz val="10"/>
            <color indexed="81"/>
            <rFont val="Tahoma"/>
            <family val="2"/>
          </rPr>
          <t xml:space="preserve"> of the tree.</t>
        </r>
      </text>
    </comment>
    <comment ref="A68" authorId="1" shapeId="0" xr:uid="{00000000-0006-0000-0000-000080000000}">
      <text>
        <r>
          <rPr>
            <sz val="10"/>
            <color indexed="81"/>
            <rFont val="Tahoma"/>
            <family val="2"/>
          </rPr>
          <t>Same as 6e, but in metric units.</t>
        </r>
      </text>
    </comment>
    <comment ref="B69" authorId="0" shapeId="0" xr:uid="{00000000-0006-0000-0000-000081000000}">
      <text>
        <r>
          <rPr>
            <sz val="10"/>
            <color indexed="81"/>
            <rFont val="Tahoma"/>
            <family val="2"/>
          </rPr>
          <t xml:space="preserve">  This is the </t>
        </r>
        <r>
          <rPr>
            <sz val="10"/>
            <color indexed="10"/>
            <rFont val="Tahoma"/>
            <family val="2"/>
          </rPr>
          <t>Metric BAF</t>
        </r>
        <r>
          <rPr>
            <sz val="10"/>
            <color indexed="81"/>
            <rFont val="Tahoma"/>
            <family val="2"/>
          </rPr>
          <t xml:space="preserve"> in square metres per hectare.  On the initial spreadsheet, it is computed from the English BAF (english/4.356).  If you consistently use the Metric BAF you might want to do the calculation in the reverse, or just leave it blank.</t>
        </r>
      </text>
    </comment>
    <comment ref="C69" authorId="0" shapeId="0" xr:uid="{00000000-0006-0000-0000-000082000000}">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center</t>
        </r>
        <r>
          <rPr>
            <sz val="10"/>
            <color indexed="81"/>
            <rFont val="Tahoma"/>
            <family val="2"/>
          </rPr>
          <t xml:space="preserve"> of a tree in </t>
        </r>
        <r>
          <rPr>
            <sz val="10"/>
            <color indexed="10"/>
            <rFont val="Tahoma"/>
            <family val="2"/>
          </rPr>
          <t>Square metres / hectare.</t>
        </r>
      </text>
    </comment>
    <comment ref="E69" authorId="0" shapeId="0" xr:uid="{00000000-0006-0000-0000-000083000000}">
      <text>
        <r>
          <rPr>
            <sz val="10"/>
            <color indexed="81"/>
            <rFont val="Tahoma"/>
            <family val="2"/>
          </rPr>
          <t xml:space="preserve">  Enter any </t>
        </r>
        <r>
          <rPr>
            <sz val="10"/>
            <color indexed="10"/>
            <rFont val="Tahoma"/>
            <family val="2"/>
          </rPr>
          <t>DBH in centimeters</t>
        </r>
        <r>
          <rPr>
            <sz val="10"/>
            <color indexed="81"/>
            <rFont val="Tahoma"/>
            <family val="2"/>
          </rPr>
          <t xml:space="preserve"> for which you want a critical distance.</t>
        </r>
      </text>
    </comment>
    <comment ref="H69" authorId="0" shapeId="0" xr:uid="{00000000-0006-0000-0000-000084000000}">
      <text>
        <r>
          <rPr>
            <sz val="10"/>
            <color indexed="81"/>
            <rFont val="Tahoma"/>
            <family val="2"/>
          </rPr>
          <t xml:space="preserve">  This is the </t>
        </r>
        <r>
          <rPr>
            <sz val="10"/>
            <color indexed="10"/>
            <rFont val="Tahoma"/>
            <family val="2"/>
          </rPr>
          <t>area of the plot</t>
        </r>
        <r>
          <rPr>
            <sz val="10"/>
            <color indexed="81"/>
            <rFont val="Tahoma"/>
            <family val="2"/>
          </rPr>
          <t xml:space="preserve"> around that tree, in </t>
        </r>
        <r>
          <rPr>
            <sz val="10"/>
            <color indexed="10"/>
            <rFont val="Tahoma"/>
            <family val="2"/>
          </rPr>
          <t>square metres,</t>
        </r>
        <r>
          <rPr>
            <sz val="10"/>
            <color indexed="81"/>
            <rFont val="Tahoma"/>
            <family val="2"/>
          </rPr>
          <t xml:space="preserve"> using the DBH and BAF entered.</t>
        </r>
      </text>
    </comment>
    <comment ref="H70" authorId="0" shapeId="0" xr:uid="{00000000-0006-0000-0000-000085000000}">
      <text>
        <r>
          <rPr>
            <sz val="10"/>
            <color indexed="81"/>
            <rFont val="Tahoma"/>
            <family val="2"/>
          </rPr>
          <t xml:space="preserve">  This is the </t>
        </r>
        <r>
          <rPr>
            <sz val="10"/>
            <color indexed="10"/>
            <rFont val="Tahoma"/>
            <family val="2"/>
          </rPr>
          <t>area of the plot</t>
        </r>
        <r>
          <rPr>
            <sz val="10"/>
            <color indexed="81"/>
            <rFont val="Tahoma"/>
            <family val="2"/>
          </rPr>
          <t xml:space="preserve"> around that tree, </t>
        </r>
        <r>
          <rPr>
            <sz val="10"/>
            <color indexed="10"/>
            <rFont val="Tahoma"/>
            <family val="2"/>
          </rPr>
          <t>in hectares,</t>
        </r>
        <r>
          <rPr>
            <sz val="10"/>
            <color indexed="81"/>
            <rFont val="Tahoma"/>
            <family val="2"/>
          </rPr>
          <t xml:space="preserve"> using the DBH and BAF entered.</t>
        </r>
      </text>
    </comment>
    <comment ref="K70" authorId="2" shapeId="0" xr:uid="{00000000-0006-0000-0000-000086000000}">
      <text>
        <r>
          <rPr>
            <sz val="10"/>
            <color indexed="81"/>
            <rFont val="Tahoma"/>
            <family val="2"/>
          </rPr>
          <t xml:space="preserve">  </t>
        </r>
        <r>
          <rPr>
            <sz val="9"/>
            <color indexed="12"/>
            <rFont val="Tahoma"/>
            <family val="2"/>
          </rPr>
          <t>The gold cell below is here in case you want to make any temporary calculations.</t>
        </r>
      </text>
    </comment>
    <comment ref="D72" authorId="0" shapeId="0" xr:uid="{00000000-0006-0000-0000-000087000000}">
      <text>
        <r>
          <rPr>
            <sz val="10"/>
            <color indexed="81"/>
            <rFont val="Tahoma"/>
            <family val="2"/>
          </rPr>
          <t xml:space="preserve">This is the "Blow-up" Factor of the METRIC BAF in cell </t>
        </r>
        <r>
          <rPr>
            <sz val="10"/>
            <color indexed="10"/>
            <rFont val="Tahoma"/>
            <family val="2"/>
          </rPr>
          <t>C69</t>
        </r>
        <r>
          <rPr>
            <sz val="10"/>
            <color indexed="81"/>
            <rFont val="Tahoma"/>
            <family val="2"/>
          </rPr>
          <t xml:space="preserve">.
This is the number of times larger the </t>
        </r>
        <r>
          <rPr>
            <sz val="10"/>
            <color indexed="10"/>
            <rFont val="Tahoma"/>
            <family val="2"/>
          </rPr>
          <t>area of the plot</t>
        </r>
        <r>
          <rPr>
            <sz val="10"/>
            <color indexed="81"/>
            <rFont val="Tahoma"/>
            <family val="2"/>
          </rPr>
          <t xml:space="preserve"> around the tree is than the basal area of </t>
        </r>
        <r>
          <rPr>
            <sz val="10"/>
            <color indexed="10"/>
            <rFont val="Tahoma"/>
            <family val="2"/>
          </rPr>
          <t>the tree</t>
        </r>
        <r>
          <rPr>
            <sz val="10"/>
            <color indexed="81"/>
            <rFont val="Tahoma"/>
            <family val="2"/>
          </rPr>
          <t xml:space="preserve"> itself.  It is constant for any particular angle used.</t>
        </r>
      </text>
    </comment>
    <comment ref="F72" authorId="0" shapeId="0" xr:uid="{00000000-0006-0000-0000-000088000000}">
      <text>
        <r>
          <rPr>
            <sz val="10"/>
            <color indexed="81"/>
            <rFont val="Tahoma"/>
            <family val="2"/>
          </rPr>
          <t xml:space="preserve">This is the </t>
        </r>
        <r>
          <rPr>
            <u/>
            <sz val="10"/>
            <color indexed="81"/>
            <rFont val="Tahoma"/>
            <family val="2"/>
          </rPr>
          <t>Metric</t>
        </r>
        <r>
          <rPr>
            <sz val="10"/>
            <color indexed="81"/>
            <rFont val="Tahoma"/>
            <family val="2"/>
          </rPr>
          <t xml:space="preserve"> </t>
        </r>
        <r>
          <rPr>
            <sz val="10"/>
            <color indexed="10"/>
            <rFont val="Tahoma"/>
            <family val="2"/>
          </rPr>
          <t>Plot Radius Factor</t>
        </r>
        <r>
          <rPr>
            <sz val="10"/>
            <color indexed="81"/>
            <rFont val="Tahoma"/>
            <family val="2"/>
          </rPr>
          <t xml:space="preserve"> for that BAF, to the </t>
        </r>
        <r>
          <rPr>
            <u/>
            <sz val="10"/>
            <color indexed="10"/>
            <rFont val="Tahoma"/>
            <family val="2"/>
          </rPr>
          <t>center</t>
        </r>
        <r>
          <rPr>
            <sz val="10"/>
            <color indexed="81"/>
            <rFont val="Tahoma"/>
            <family val="2"/>
          </rPr>
          <t xml:space="preserve"> of the tree, in </t>
        </r>
        <r>
          <rPr>
            <sz val="10"/>
            <color indexed="10"/>
            <rFont val="Tahoma"/>
            <family val="2"/>
          </rPr>
          <t>metres per centimeter</t>
        </r>
        <r>
          <rPr>
            <sz val="10"/>
            <color indexed="81"/>
            <rFont val="Tahoma"/>
            <family val="2"/>
          </rPr>
          <t xml:space="preserve"> of DBH.
  Note that the PRF to the </t>
        </r>
        <r>
          <rPr>
            <i/>
            <sz val="10"/>
            <color indexed="81"/>
            <rFont val="Tahoma"/>
            <family val="2"/>
          </rPr>
          <t>face</t>
        </r>
        <r>
          <rPr>
            <sz val="10"/>
            <color indexed="81"/>
            <rFont val="Tahoma"/>
            <family val="2"/>
          </rPr>
          <t xml:space="preserve"> of the tree is also computed in the </t>
        </r>
        <r>
          <rPr>
            <i/>
            <sz val="10"/>
            <color indexed="81"/>
            <rFont val="Tahoma"/>
            <family val="2"/>
          </rPr>
          <t>cell below.</t>
        </r>
      </text>
    </comment>
    <comment ref="H72" authorId="0" shapeId="0" xr:uid="{00000000-0006-0000-0000-000089000000}">
      <text>
        <r>
          <rPr>
            <sz val="10"/>
            <color indexed="81"/>
            <rFont val="Tahoma"/>
            <family val="2"/>
          </rPr>
          <t xml:space="preserve">  This is the </t>
        </r>
        <r>
          <rPr>
            <sz val="10"/>
            <color indexed="10"/>
            <rFont val="Tahoma"/>
            <family val="2"/>
          </rPr>
          <t>"critical distance"</t>
        </r>
        <r>
          <rPr>
            <sz val="10"/>
            <color indexed="81"/>
            <rFont val="Tahoma"/>
            <family val="2"/>
          </rPr>
          <t xml:space="preserve"> from the </t>
        </r>
        <r>
          <rPr>
            <u/>
            <sz val="10"/>
            <color indexed="81"/>
            <rFont val="Tahoma"/>
            <family val="2"/>
          </rPr>
          <t>center</t>
        </r>
        <r>
          <rPr>
            <sz val="10"/>
            <color indexed="81"/>
            <rFont val="Tahoma"/>
            <family val="2"/>
          </rPr>
          <t xml:space="preserve"> of the tree to the edge of the plot around that tree, </t>
        </r>
        <r>
          <rPr>
            <sz val="10"/>
            <color indexed="10"/>
            <rFont val="Tahoma"/>
            <family val="2"/>
          </rPr>
          <t>in metres,</t>
        </r>
        <r>
          <rPr>
            <sz val="10"/>
            <color indexed="81"/>
            <rFont val="Tahoma"/>
            <family val="2"/>
          </rPr>
          <t xml:space="preserve"> using the BAF and DBH given.</t>
        </r>
      </text>
    </comment>
    <comment ref="B73" authorId="2" shapeId="0" xr:uid="{00000000-0006-0000-0000-00008A000000}">
      <text>
        <r>
          <rPr>
            <sz val="10"/>
            <color indexed="81"/>
            <rFont val="Tahoma"/>
            <family val="2"/>
          </rPr>
          <t>This is the angle for the selection of the tree, in degrees, for the BAF you have entered.</t>
        </r>
      </text>
    </comment>
    <comment ref="F73" authorId="0" shapeId="0" xr:uid="{00000000-0006-0000-0000-00008B000000}">
      <text>
        <r>
          <rPr>
            <i/>
            <sz val="10"/>
            <color indexed="81"/>
            <rFont val="Tahoma"/>
            <family val="2"/>
          </rPr>
          <t xml:space="preserve">  This is the </t>
        </r>
        <r>
          <rPr>
            <i/>
            <sz val="10"/>
            <color indexed="10"/>
            <rFont val="Tahoma"/>
            <family val="2"/>
          </rPr>
          <t>Plot Radius Factor,</t>
        </r>
        <r>
          <rPr>
            <i/>
            <sz val="10"/>
            <color indexed="81"/>
            <rFont val="Tahoma"/>
            <family val="2"/>
          </rPr>
          <t xml:space="preserve"> in </t>
        </r>
        <r>
          <rPr>
            <i/>
            <sz val="10"/>
            <color indexed="10"/>
            <rFont val="Tahoma"/>
            <family val="2"/>
          </rPr>
          <t>Meters per cm</t>
        </r>
        <r>
          <rPr>
            <i/>
            <sz val="10"/>
            <color indexed="81"/>
            <rFont val="Tahoma"/>
            <family val="2"/>
          </rPr>
          <t xml:space="preserve"> of DBH, from the </t>
        </r>
        <r>
          <rPr>
            <i/>
            <u/>
            <sz val="10"/>
            <color indexed="10"/>
            <rFont val="Tahoma"/>
            <family val="2"/>
          </rPr>
          <t>FACE</t>
        </r>
        <r>
          <rPr>
            <i/>
            <sz val="10"/>
            <color indexed="81"/>
            <rFont val="Tahoma"/>
            <family val="2"/>
          </rPr>
          <t xml:space="preserve"> of the tree to the edge of the plot around that tree.</t>
        </r>
      </text>
    </comment>
    <comment ref="H73" authorId="1" shapeId="0" xr:uid="{00000000-0006-0000-0000-00008C000000}">
      <text>
        <r>
          <rPr>
            <sz val="10"/>
            <color indexed="81"/>
            <rFont val="Tahoma"/>
            <family val="2"/>
          </rPr>
          <t xml:space="preserve">Distance from the </t>
        </r>
        <r>
          <rPr>
            <u/>
            <sz val="10"/>
            <color indexed="81"/>
            <rFont val="Tahoma"/>
            <family val="2"/>
          </rPr>
          <t>face</t>
        </r>
        <r>
          <rPr>
            <sz val="10"/>
            <color indexed="81"/>
            <rFont val="Tahoma"/>
            <family val="2"/>
          </rPr>
          <t xml:space="preserve"> of the tree.</t>
        </r>
      </text>
    </comment>
    <comment ref="A76" authorId="1" shapeId="0" xr:uid="{00000000-0006-0000-0000-00008D000000}">
      <text>
        <r>
          <rPr>
            <sz val="10"/>
            <color indexed="81"/>
            <rFont val="Tahoma"/>
            <family val="2"/>
          </rPr>
          <t>If your computer printout does not give you the CV for VBAR, this is a way to estimate it from the CVs for basal area and total volume.</t>
        </r>
      </text>
    </comment>
    <comment ref="B77" authorId="0" shapeId="0" xr:uid="{00000000-0006-0000-0000-00008E000000}">
      <text>
        <r>
          <rPr>
            <sz val="10"/>
            <color indexed="81"/>
            <rFont val="Tahoma"/>
            <family val="2"/>
          </rPr>
          <t xml:space="preserve">  In some compilation programs you do not get the CVs needed for proper cruise planning.  If you get the </t>
        </r>
        <r>
          <rPr>
            <sz val="10"/>
            <color indexed="10"/>
            <rFont val="Tahoma"/>
            <family val="2"/>
          </rPr>
          <t>SE% for the basal area</t>
        </r>
        <r>
          <rPr>
            <sz val="10"/>
            <color indexed="81"/>
            <rFont val="Tahoma"/>
            <family val="2"/>
          </rPr>
          <t xml:space="preserve"> </t>
        </r>
        <r>
          <rPr>
            <u/>
            <sz val="10"/>
            <color indexed="81"/>
            <rFont val="Tahoma"/>
            <family val="2"/>
          </rPr>
          <t>and</t>
        </r>
        <r>
          <rPr>
            <sz val="10"/>
            <color indexed="81"/>
            <rFont val="Tahoma"/>
            <family val="2"/>
          </rPr>
          <t xml:space="preserve"> the </t>
        </r>
        <r>
          <rPr>
            <sz val="10"/>
            <color indexed="10"/>
            <rFont val="Tahoma"/>
            <family val="2"/>
          </rPr>
          <t>total SE%,</t>
        </r>
        <r>
          <rPr>
            <sz val="10"/>
            <color indexed="18"/>
            <rFont val="Tahoma"/>
            <family val="2"/>
          </rPr>
          <t xml:space="preserve"> the CV for the *BAR can be </t>
        </r>
        <r>
          <rPr>
            <u/>
            <sz val="10"/>
            <color indexed="18"/>
            <rFont val="Tahoma"/>
            <family val="2"/>
          </rPr>
          <t>roughly</t>
        </r>
        <r>
          <rPr>
            <sz val="10"/>
            <color indexed="18"/>
            <rFont val="Tahoma"/>
            <family val="2"/>
          </rPr>
          <t xml:space="preserve"> approximated using this section.</t>
        </r>
      </text>
    </comment>
    <comment ref="B78" authorId="0" shapeId="0" xr:uid="{00000000-0006-0000-0000-00008F000000}">
      <text>
        <r>
          <rPr>
            <sz val="10"/>
            <color indexed="10"/>
            <rFont val="Tahoma"/>
            <family val="2"/>
          </rPr>
          <t xml:space="preserve">  Enter the SE%</t>
        </r>
        <r>
          <rPr>
            <sz val="10"/>
            <color indexed="81"/>
            <rFont val="Tahoma"/>
            <family val="2"/>
          </rPr>
          <t xml:space="preserve"> for the Basal Area from the compilation results.</t>
        </r>
      </text>
    </comment>
    <comment ref="D78" authorId="0" shapeId="0" xr:uid="{00000000-0006-0000-0000-000090000000}">
      <text>
        <r>
          <rPr>
            <sz val="10"/>
            <color indexed="10"/>
            <rFont val="Tahoma"/>
            <family val="2"/>
          </rPr>
          <t xml:space="preserve">  </t>
        </r>
        <r>
          <rPr>
            <u/>
            <sz val="10"/>
            <color indexed="10"/>
            <rFont val="Tahoma"/>
            <family val="2"/>
          </rPr>
          <t>Enter</t>
        </r>
        <r>
          <rPr>
            <sz val="10"/>
            <color indexed="10"/>
            <rFont val="Tahoma"/>
            <family val="2"/>
          </rPr>
          <t xml:space="preserve"> the number of sample points</t>
        </r>
        <r>
          <rPr>
            <sz val="10"/>
            <color indexed="81"/>
            <rFont val="Tahoma"/>
            <family val="2"/>
          </rPr>
          <t xml:space="preserve"> for the cruise.</t>
        </r>
      </text>
    </comment>
    <comment ref="G78" authorId="0" shapeId="0" xr:uid="{00000000-0006-0000-0000-000091000000}">
      <text>
        <r>
          <rPr>
            <sz val="10"/>
            <color indexed="81"/>
            <rFont val="Tahoma"/>
            <family val="2"/>
          </rPr>
          <t xml:space="preserve">This is a  </t>
        </r>
        <r>
          <rPr>
            <u/>
            <sz val="10"/>
            <color indexed="81"/>
            <rFont val="Tahoma"/>
            <family val="2"/>
          </rPr>
          <t>correct</t>
        </r>
        <r>
          <rPr>
            <sz val="10"/>
            <color indexed="81"/>
            <rFont val="Tahoma"/>
            <family val="2"/>
          </rPr>
          <t xml:space="preserve"> estimate for the </t>
        </r>
        <r>
          <rPr>
            <sz val="10"/>
            <color indexed="10"/>
            <rFont val="Tahoma"/>
            <family val="2"/>
          </rPr>
          <t>CV of the Basal Area.</t>
        </r>
      </text>
    </comment>
    <comment ref="B79" authorId="0" shapeId="0" xr:uid="{00000000-0006-0000-0000-000092000000}">
      <text>
        <r>
          <rPr>
            <sz val="10"/>
            <color indexed="10"/>
            <rFont val="Tahoma"/>
            <family val="2"/>
          </rPr>
          <t xml:space="preserve"> </t>
        </r>
        <r>
          <rPr>
            <u/>
            <sz val="10"/>
            <color indexed="10"/>
            <rFont val="Tahoma"/>
            <family val="2"/>
          </rPr>
          <t>Implied</t>
        </r>
        <r>
          <rPr>
            <sz val="10"/>
            <color indexed="10"/>
            <rFont val="Tahoma"/>
            <family val="2"/>
          </rPr>
          <t xml:space="preserve"> SE%</t>
        </r>
        <r>
          <rPr>
            <sz val="10"/>
            <color indexed="81"/>
            <rFont val="Tahoma"/>
            <family val="2"/>
          </rPr>
          <t xml:space="preserve"> for the *BAR portion of the compilation results.</t>
        </r>
      </text>
    </comment>
    <comment ref="D79" authorId="0" shapeId="0" xr:uid="{00000000-0006-0000-0000-000093000000}">
      <text>
        <r>
          <rPr>
            <sz val="10"/>
            <color indexed="81"/>
            <rFont val="Tahoma"/>
            <family val="2"/>
          </rPr>
          <t xml:space="preserve">  </t>
        </r>
        <r>
          <rPr>
            <u/>
            <sz val="10"/>
            <color indexed="10"/>
            <rFont val="Tahoma"/>
            <family val="2"/>
          </rPr>
          <t>Enter</t>
        </r>
        <r>
          <rPr>
            <sz val="10"/>
            <color indexed="10"/>
            <rFont val="Tahoma"/>
            <family val="2"/>
          </rPr>
          <t xml:space="preserve"> the number of trees</t>
        </r>
        <r>
          <rPr>
            <sz val="10"/>
            <color indexed="81"/>
            <rFont val="Tahoma"/>
            <family val="2"/>
          </rPr>
          <t xml:space="preserve"> to compute the CV of the *BAR for individual trees.
  You can also enter the number of </t>
        </r>
        <r>
          <rPr>
            <i/>
            <sz val="10"/>
            <color indexed="81"/>
            <rFont val="Tahoma"/>
            <family val="2"/>
          </rPr>
          <t>sample points</t>
        </r>
        <r>
          <rPr>
            <sz val="10"/>
            <color indexed="81"/>
            <rFont val="Tahoma"/>
            <family val="2"/>
          </rPr>
          <t xml:space="preserve"> to estimate the </t>
        </r>
        <r>
          <rPr>
            <i/>
            <sz val="10"/>
            <color indexed="81"/>
            <rFont val="Tahoma"/>
            <family val="2"/>
          </rPr>
          <t>CV of the average *BAR for clusters.</t>
        </r>
      </text>
    </comment>
    <comment ref="G79" authorId="0" shapeId="0" xr:uid="{00000000-0006-0000-0000-000094000000}">
      <text>
        <r>
          <rPr>
            <sz val="10"/>
            <color indexed="81"/>
            <rFont val="Tahoma"/>
            <family val="2"/>
          </rPr>
          <t xml:space="preserve">  This is only a </t>
        </r>
        <r>
          <rPr>
            <u/>
            <sz val="10"/>
            <color indexed="10"/>
            <rFont val="Tahoma"/>
            <family val="2"/>
          </rPr>
          <t>rough</t>
        </r>
        <r>
          <rPr>
            <sz val="10"/>
            <color indexed="10"/>
            <rFont val="Tahoma"/>
            <family val="2"/>
          </rPr>
          <t xml:space="preserve"> approximation of the CV for *BAR.</t>
        </r>
        <r>
          <rPr>
            <sz val="10"/>
            <color indexed="81"/>
            <rFont val="Tahoma"/>
            <family val="2"/>
          </rPr>
          <t xml:space="preserve">  
  It is probably better to get this by processing some volumes and values for individual trees from the cruise.  Use any volume table that uses DBH and Ht for this, since the values are relative.</t>
        </r>
      </text>
    </comment>
    <comment ref="B80" authorId="0" shapeId="0" xr:uid="{00000000-0006-0000-0000-000095000000}">
      <text>
        <r>
          <rPr>
            <sz val="10"/>
            <color indexed="81"/>
            <rFont val="Tahoma"/>
            <family val="2"/>
          </rPr>
          <t xml:space="preserve">  </t>
        </r>
        <r>
          <rPr>
            <sz val="10"/>
            <color indexed="10"/>
            <rFont val="Tahoma"/>
            <family val="2"/>
          </rPr>
          <t>Enter the SE% for the Total volume (or total value)</t>
        </r>
        <r>
          <rPr>
            <sz val="10"/>
            <color indexed="81"/>
            <rFont val="Tahoma"/>
            <family val="2"/>
          </rPr>
          <t xml:space="preserve">  from the compilation results.  
  If you enter SE% for </t>
        </r>
        <r>
          <rPr>
            <u/>
            <sz val="10"/>
            <color indexed="81"/>
            <rFont val="Tahoma"/>
            <family val="2"/>
          </rPr>
          <t>volume,</t>
        </r>
        <r>
          <rPr>
            <sz val="10"/>
            <color indexed="81"/>
            <rFont val="Tahoma"/>
            <family val="2"/>
          </rPr>
          <t xml:space="preserve"> the </t>
        </r>
        <r>
          <rPr>
            <sz val="10"/>
            <color indexed="10"/>
            <rFont val="Tahoma"/>
            <family val="2"/>
          </rPr>
          <t>CV of the VBAR</t>
        </r>
        <r>
          <rPr>
            <sz val="10"/>
            <color indexed="81"/>
            <rFont val="Tahoma"/>
            <family val="2"/>
          </rPr>
          <t xml:space="preserve"> will be estimated (net or gross).
  If you enter SE% for </t>
        </r>
        <r>
          <rPr>
            <u/>
            <sz val="10"/>
            <color indexed="81"/>
            <rFont val="Tahoma"/>
            <family val="2"/>
          </rPr>
          <t>value,</t>
        </r>
        <r>
          <rPr>
            <sz val="10"/>
            <color indexed="81"/>
            <rFont val="Tahoma"/>
            <family val="2"/>
          </rPr>
          <t xml:space="preserve"> then the </t>
        </r>
        <r>
          <rPr>
            <sz val="10"/>
            <color indexed="10"/>
            <rFont val="Tahoma"/>
            <family val="2"/>
          </rPr>
          <t>CV of the $BAR</t>
        </r>
        <r>
          <rPr>
            <sz val="10"/>
            <color indexed="81"/>
            <rFont val="Tahoma"/>
            <family val="2"/>
          </rPr>
          <t xml:space="preserve"> will be estimated.
    </t>
        </r>
      </text>
    </comment>
    <comment ref="A82" authorId="1" shapeId="0" xr:uid="{00000000-0006-0000-0000-000096000000}">
      <text>
        <r>
          <rPr>
            <sz val="10"/>
            <color indexed="81"/>
            <rFont val="Tahoma"/>
            <family val="2"/>
          </rPr>
          <t xml:space="preserve">If you want to use your </t>
        </r>
        <r>
          <rPr>
            <b/>
            <sz val="10"/>
            <color indexed="81"/>
            <rFont val="Tahoma"/>
            <family val="2"/>
          </rPr>
          <t>ratio</t>
        </r>
        <r>
          <rPr>
            <sz val="10"/>
            <color indexed="81"/>
            <rFont val="Tahoma"/>
            <family val="2"/>
          </rPr>
          <t xml:space="preserve"> from cell C15/16 in section 2, if you wanted to get your </t>
        </r>
        <r>
          <rPr>
            <b/>
            <sz val="10"/>
            <color indexed="81"/>
            <rFont val="Tahoma"/>
            <family val="2"/>
          </rPr>
          <t xml:space="preserve">desired SE% </t>
        </r>
        <r>
          <rPr>
            <sz val="10"/>
            <color indexed="81"/>
            <rFont val="Tahoma"/>
            <family val="2"/>
          </rPr>
          <t>from cell D9, this is how you could get it efficiently.</t>
        </r>
        <r>
          <rPr>
            <sz val="9"/>
            <color indexed="81"/>
            <rFont val="Tahoma"/>
            <family val="2"/>
          </rPr>
          <t xml:space="preserve">
</t>
        </r>
      </text>
    </comment>
    <comment ref="A96" authorId="1" shapeId="0" xr:uid="{00000000-0006-0000-0000-000097000000}">
      <text>
        <r>
          <rPr>
            <sz val="10"/>
            <color indexed="81"/>
            <rFont val="Tahoma"/>
            <family val="2"/>
          </rPr>
          <t>One way to create a large BAF is to combine the strength of 2 ordinary prisms.  This is the resulting BAF from 2 prisms you choose to use (English or Metric)</t>
        </r>
      </text>
    </comment>
    <comment ref="I97" authorId="2" shapeId="0" xr:uid="{00000000-0006-0000-0000-000098000000}">
      <text>
        <r>
          <rPr>
            <sz val="9"/>
            <color indexed="81"/>
            <rFont val="Tahoma"/>
            <family val="2"/>
          </rPr>
          <t xml:space="preserve">  This is the combined BAF for the 2 prisms together.  
   You can use section 5 to compute the arm lengths for a "stick" angle gauge to make large BAFs.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Iles &amp; Associates Ltd.</author>
  </authors>
  <commentList>
    <comment ref="A6" authorId="0" shapeId="0" xr:uid="{00000000-0006-0000-0100-000001000000}">
      <text>
        <r>
          <rPr>
            <sz val="10"/>
            <color indexed="81"/>
            <rFont val="Tahoma"/>
            <family val="2"/>
          </rPr>
          <t xml:space="preserve">  This is the </t>
        </r>
        <r>
          <rPr>
            <sz val="10"/>
            <color indexed="10"/>
            <rFont val="Tahoma"/>
            <family val="2"/>
          </rPr>
          <t xml:space="preserve">number of </t>
        </r>
        <r>
          <rPr>
            <u/>
            <sz val="10"/>
            <color indexed="10"/>
            <rFont val="Tahoma"/>
            <family val="2"/>
          </rPr>
          <t>count plots</t>
        </r>
        <r>
          <rPr>
            <sz val="10"/>
            <color indexed="10"/>
            <rFont val="Tahoma"/>
            <family val="2"/>
          </rPr>
          <t xml:space="preserve"> (O) and measured (+) </t>
        </r>
        <r>
          <rPr>
            <u/>
            <sz val="10"/>
            <color indexed="10"/>
            <rFont val="Tahoma"/>
            <family val="2"/>
          </rPr>
          <t>VBARS</t>
        </r>
        <r>
          <rPr>
            <sz val="10"/>
            <color indexed="10"/>
            <rFont val="Tahoma"/>
            <family val="2"/>
          </rPr>
          <t xml:space="preserve"> you would need for a variety of SE%'s</t>
        </r>
        <r>
          <rPr>
            <sz val="10"/>
            <color indexed="81"/>
            <rFont val="Tahoma"/>
            <family val="2"/>
          </rPr>
          <t xml:space="preserve"> on each side of the SE% you entered (at the optimal ratio).
  The graphs that follow show you other options.
  If you want to change the range or midpoint that is shown, change the numbers in cells (U1 or X1) in the data entry worksheet.</t>
        </r>
      </text>
    </comment>
    <comment ref="M6" authorId="0" shapeId="0" xr:uid="{00000000-0006-0000-0100-000002000000}">
      <text>
        <r>
          <rPr>
            <sz val="10"/>
            <color indexed="81"/>
            <rFont val="Tahoma"/>
            <family val="2"/>
          </rPr>
          <t xml:space="preserve">  This is the </t>
        </r>
        <r>
          <rPr>
            <sz val="10"/>
            <color indexed="10"/>
            <rFont val="Tahoma"/>
            <family val="2"/>
          </rPr>
          <t xml:space="preserve">number of </t>
        </r>
        <r>
          <rPr>
            <u/>
            <sz val="10"/>
            <color indexed="10"/>
            <rFont val="Tahoma"/>
            <family val="2"/>
          </rPr>
          <t>count plots</t>
        </r>
        <r>
          <rPr>
            <sz val="10"/>
            <color indexed="10"/>
            <rFont val="Tahoma"/>
            <family val="2"/>
          </rPr>
          <t xml:space="preserve"> (O) and measured (+) </t>
        </r>
        <r>
          <rPr>
            <u/>
            <sz val="10"/>
            <color indexed="10"/>
            <rFont val="Tahoma"/>
            <family val="2"/>
          </rPr>
          <t>VBARS</t>
        </r>
        <r>
          <rPr>
            <sz val="10"/>
            <color indexed="10"/>
            <rFont val="Tahoma"/>
            <family val="2"/>
          </rPr>
          <t xml:space="preserve"> you would need for a variety of SE%'s that you enter below</t>
        </r>
        <r>
          <rPr>
            <sz val="10"/>
            <color indexed="81"/>
            <rFont val="Tahoma"/>
            <family val="2"/>
          </rPr>
          <t xml:space="preserve"> .
Change the axis size, as needed.</t>
        </r>
      </text>
    </comment>
    <comment ref="A30" authorId="0" shapeId="0" xr:uid="{00000000-0006-0000-0100-000003000000}">
      <text>
        <r>
          <rPr>
            <sz val="10"/>
            <color indexed="81"/>
            <rFont val="Tahoma"/>
            <family val="2"/>
          </rPr>
          <t xml:space="preserve">  This is the </t>
        </r>
        <r>
          <rPr>
            <sz val="10"/>
            <color indexed="10"/>
            <rFont val="Tahoma"/>
            <family val="2"/>
          </rPr>
          <t xml:space="preserve">number of plots needed if you measure </t>
        </r>
        <r>
          <rPr>
            <u/>
            <sz val="10"/>
            <color indexed="10"/>
            <rFont val="Tahoma"/>
            <family val="2"/>
          </rPr>
          <t>all trees on all plots</t>
        </r>
        <r>
          <rPr>
            <sz val="10"/>
            <color indexed="81"/>
            <rFont val="Tahoma"/>
            <family val="2"/>
          </rPr>
          <t xml:space="preserve"> for a variety of SE%'s on each side of the SE% you
 entered (D9).
  There will be fewer plots, but usually far more tree measurements, and more cost.
  </t>
        </r>
      </text>
    </comment>
    <comment ref="A55" authorId="0" shapeId="0" xr:uid="{00000000-0006-0000-0100-000004000000}">
      <text>
        <r>
          <rPr>
            <sz val="10"/>
            <color indexed="81"/>
            <rFont val="Tahoma"/>
            <family val="2"/>
          </rPr>
          <t xml:space="preserve">  This is the dollar (or time) total </t>
        </r>
        <r>
          <rPr>
            <sz val="10"/>
            <color indexed="10"/>
            <rFont val="Tahoma"/>
            <family val="2"/>
          </rPr>
          <t>cost of a variety of SE%'s.</t>
        </r>
        <r>
          <rPr>
            <sz val="10"/>
            <color indexed="81"/>
            <rFont val="Tahoma"/>
            <family val="2"/>
          </rPr>
          <t xml:space="preserve"> The </t>
        </r>
        <r>
          <rPr>
            <sz val="10"/>
            <color indexed="10"/>
            <rFont val="Tahoma"/>
            <family val="2"/>
          </rPr>
          <t>optimal ratio</t>
        </r>
        <r>
          <rPr>
            <sz val="10"/>
            <color indexed="81"/>
            <rFont val="Tahoma"/>
            <family val="2"/>
          </rPr>
          <t xml:space="preserve"> has been used for this calculation.  This saves you the time of filling in all the SE% options in the top section of the data entry worksheet.</t>
        </r>
      </text>
    </comment>
    <comment ref="A78" authorId="0" shapeId="0" xr:uid="{00000000-0006-0000-0100-000005000000}">
      <text>
        <r>
          <rPr>
            <sz val="10"/>
            <color indexed="81"/>
            <rFont val="Tahoma"/>
            <family val="2"/>
          </rPr>
          <t xml:space="preserve">  This is the </t>
        </r>
        <r>
          <rPr>
            <sz val="10"/>
            <color indexed="10"/>
            <rFont val="Tahoma"/>
            <family val="2"/>
          </rPr>
          <t>cost for a variety of SE%'s</t>
        </r>
        <r>
          <rPr>
            <sz val="10"/>
            <color indexed="81"/>
            <rFont val="Tahoma"/>
            <family val="2"/>
          </rPr>
          <t xml:space="preserve"> on each side of the SE% you entered (D9), using 3 options.
     1)  The Optimum balance (C11&amp;C12)
     2)  The </t>
        </r>
        <r>
          <rPr>
            <u/>
            <sz val="10"/>
            <color indexed="81"/>
            <rFont val="Tahoma"/>
            <family val="2"/>
          </rPr>
          <t>ratio</t>
        </r>
        <r>
          <rPr>
            <sz val="10"/>
            <color indexed="81"/>
            <rFont val="Tahoma"/>
            <family val="2"/>
          </rPr>
          <t xml:space="preserve"> in your "test" option (C15&amp;C16).
     3)  Measuring </t>
        </r>
        <r>
          <rPr>
            <u/>
            <sz val="10"/>
            <color indexed="81"/>
            <rFont val="Tahoma"/>
            <family val="2"/>
          </rPr>
          <t>all</t>
        </r>
        <r>
          <rPr>
            <sz val="10"/>
            <color indexed="81"/>
            <rFont val="Tahoma"/>
            <family val="2"/>
          </rPr>
          <t xml:space="preserve"> trees on all points (0)
</t>
        </r>
      </text>
    </comment>
    <comment ref="A105" authorId="0" shapeId="0" xr:uid="{00000000-0006-0000-0100-000006000000}">
      <text>
        <r>
          <rPr>
            <sz val="10"/>
            <color indexed="81"/>
            <rFont val="Tahoma"/>
            <family val="2"/>
          </rPr>
          <t xml:space="preserve">  This is the </t>
        </r>
        <r>
          <rPr>
            <u val="double"/>
            <sz val="10"/>
            <color indexed="10"/>
            <rFont val="Tahoma"/>
            <family val="2"/>
          </rPr>
          <t>Total</t>
        </r>
        <r>
          <rPr>
            <sz val="10"/>
            <color indexed="10"/>
            <rFont val="Tahoma"/>
            <family val="2"/>
          </rPr>
          <t xml:space="preserve"> </t>
        </r>
        <r>
          <rPr>
            <u/>
            <sz val="10"/>
            <color indexed="10"/>
            <rFont val="Tahoma"/>
            <family val="2"/>
          </rPr>
          <t>Dollar or Time</t>
        </r>
        <r>
          <rPr>
            <sz val="10"/>
            <color indexed="10"/>
            <rFont val="Tahoma"/>
            <family val="2"/>
          </rPr>
          <t xml:space="preserve"> cost of the cruise, using a range of "Count : Measure Ratios" (+ signs), </t>
        </r>
        <r>
          <rPr>
            <sz val="10"/>
            <color indexed="18"/>
            <rFont val="Tahoma"/>
            <family val="2"/>
          </rPr>
          <t>to get the</t>
        </r>
        <r>
          <rPr>
            <sz val="10"/>
            <color indexed="10"/>
            <rFont val="Tahoma"/>
            <family val="2"/>
          </rPr>
          <t xml:space="preserve"> same SE% </t>
        </r>
        <r>
          <rPr>
            <sz val="10"/>
            <color indexed="18"/>
            <rFont val="Tahoma"/>
            <family val="2"/>
          </rPr>
          <t xml:space="preserve">you entered in the optimum calculation section (cell C9) (the number of trees changes as well as the number of plots).
</t>
        </r>
        <r>
          <rPr>
            <sz val="10"/>
            <color indexed="81"/>
            <rFont val="Tahoma"/>
            <family val="2"/>
          </rPr>
          <t xml:space="preserve">
  It </t>
        </r>
        <r>
          <rPr>
            <u/>
            <sz val="10"/>
            <color indexed="81"/>
            <rFont val="Tahoma"/>
            <family val="2"/>
          </rPr>
          <t>also</t>
        </r>
        <r>
          <rPr>
            <sz val="10"/>
            <color indexed="81"/>
            <rFont val="Tahoma"/>
            <family val="2"/>
          </rPr>
          <t xml:space="preserve"> shows (large circle) the cost of measuring </t>
        </r>
        <r>
          <rPr>
            <sz val="10"/>
            <color indexed="10"/>
            <rFont val="Tahoma"/>
            <family val="2"/>
          </rPr>
          <t>all trees on all plots,</t>
        </r>
        <r>
          <rPr>
            <sz val="10"/>
            <color indexed="81"/>
            <rFont val="Tahoma"/>
            <family val="2"/>
          </rPr>
          <t xml:space="preserve"> to get that same SE%.
  The </t>
        </r>
        <r>
          <rPr>
            <sz val="10"/>
            <color indexed="10"/>
            <rFont val="Tahoma"/>
            <family val="2"/>
          </rPr>
          <t>test numbers</t>
        </r>
        <r>
          <rPr>
            <sz val="10"/>
            <color indexed="81"/>
            <rFont val="Tahoma"/>
            <family val="2"/>
          </rPr>
          <t xml:space="preserve"> (square) you entered are also shown, </t>
        </r>
        <r>
          <rPr>
            <u/>
            <sz val="10"/>
            <color indexed="81"/>
            <rFont val="Tahoma"/>
            <family val="2"/>
          </rPr>
          <t>note</t>
        </r>
        <r>
          <rPr>
            <sz val="10"/>
            <color indexed="81"/>
            <rFont val="Tahoma"/>
            <family val="2"/>
          </rPr>
          <t xml:space="preserve"> that this option </t>
        </r>
        <r>
          <rPr>
            <sz val="10"/>
            <color indexed="10"/>
            <rFont val="Tahoma"/>
            <family val="2"/>
          </rPr>
          <t>may produce a different SE%,</t>
        </r>
        <r>
          <rPr>
            <sz val="10"/>
            <color indexed="81"/>
            <rFont val="Tahoma"/>
            <family val="2"/>
          </rPr>
          <t xml:space="preserve"> unless you have entered the number in small italics in that section to insure that it is the same.</t>
        </r>
      </text>
    </comment>
    <comment ref="A133" authorId="0" shapeId="0" xr:uid="{00000000-0006-0000-0100-000007000000}">
      <text>
        <r>
          <rPr>
            <sz val="10"/>
            <color indexed="81"/>
            <rFont val="Tahoma"/>
            <family val="2"/>
          </rPr>
          <t xml:space="preserve">  This is the </t>
        </r>
        <r>
          <rPr>
            <u val="double"/>
            <sz val="10"/>
            <color indexed="10"/>
            <rFont val="Tahoma"/>
            <family val="2"/>
          </rPr>
          <t>Relative</t>
        </r>
        <r>
          <rPr>
            <sz val="10"/>
            <color indexed="10"/>
            <rFont val="Tahoma"/>
            <family val="2"/>
          </rPr>
          <t xml:space="preserve"> Dollar or Time cost of the cruise, using a range (+) of "Count : Measure Ratios", </t>
        </r>
        <r>
          <rPr>
            <sz val="10"/>
            <color indexed="18"/>
            <rFont val="Tahoma"/>
            <family val="2"/>
          </rPr>
          <t>to get the</t>
        </r>
        <r>
          <rPr>
            <sz val="10"/>
            <color indexed="10"/>
            <rFont val="Tahoma"/>
            <family val="2"/>
          </rPr>
          <t xml:space="preserve"> same SE% </t>
        </r>
        <r>
          <rPr>
            <sz val="10"/>
            <color indexed="18"/>
            <rFont val="Tahoma"/>
            <family val="2"/>
          </rPr>
          <t xml:space="preserve">you entered in the optimum calculation section (cell D9).
</t>
        </r>
        <r>
          <rPr>
            <sz val="10"/>
            <color indexed="81"/>
            <rFont val="Tahoma"/>
            <family val="2"/>
          </rPr>
          <t xml:space="preserve">
  It </t>
        </r>
        <r>
          <rPr>
            <u/>
            <sz val="10"/>
            <color indexed="81"/>
            <rFont val="Tahoma"/>
            <family val="2"/>
          </rPr>
          <t>also</t>
        </r>
        <r>
          <rPr>
            <sz val="10"/>
            <color indexed="81"/>
            <rFont val="Tahoma"/>
            <family val="2"/>
          </rPr>
          <t xml:space="preserve"> shows (large circle) the cost of measuring </t>
        </r>
        <r>
          <rPr>
            <u/>
            <sz val="10"/>
            <color indexed="10"/>
            <rFont val="Tahoma"/>
            <family val="2"/>
          </rPr>
          <t>all trees</t>
        </r>
        <r>
          <rPr>
            <sz val="10"/>
            <color indexed="10"/>
            <rFont val="Tahoma"/>
            <family val="2"/>
          </rPr>
          <t xml:space="preserve"> on all plots,</t>
        </r>
        <r>
          <rPr>
            <sz val="10"/>
            <color indexed="81"/>
            <rFont val="Tahoma"/>
            <family val="2"/>
          </rPr>
          <t xml:space="preserve"> to get that same SE%.
  The </t>
        </r>
        <r>
          <rPr>
            <sz val="10"/>
            <color indexed="10"/>
            <rFont val="Tahoma"/>
            <family val="2"/>
          </rPr>
          <t>test numbers</t>
        </r>
        <r>
          <rPr>
            <sz val="10"/>
            <color indexed="81"/>
            <rFont val="Tahoma"/>
            <family val="2"/>
          </rPr>
          <t xml:space="preserve"> (square) you entered are also shown.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 Iles &amp; Associates Ltd.</author>
    <author xml:space="preserve">Kim Iles </author>
    <author>*</author>
    <author>Kim Iles &amp; Associates</author>
    <author>Kim Iles</author>
  </authors>
  <commentList>
    <comment ref="A1" authorId="0" shapeId="0" xr:uid="{DBDCD603-C262-4D69-8717-69B6AF09ED45}">
      <text>
        <r>
          <rPr>
            <sz val="10"/>
            <color indexed="81"/>
            <rFont val="Tahoma"/>
            <family val="2"/>
          </rPr>
          <t xml:space="preserve">   This section (#1) computes the </t>
        </r>
        <r>
          <rPr>
            <sz val="10"/>
            <color indexed="10"/>
            <rFont val="Tahoma"/>
            <family val="2"/>
          </rPr>
          <t>optimal ratio</t>
        </r>
        <r>
          <rPr>
            <sz val="10"/>
            <color indexed="81"/>
            <rFont val="Tahoma"/>
            <family val="2"/>
          </rPr>
          <t xml:space="preserve"> and number for </t>
        </r>
        <r>
          <rPr>
            <sz val="10"/>
            <color indexed="10"/>
            <rFont val="Tahoma"/>
            <family val="2"/>
          </rPr>
          <t>"count plots" vs. "Measurements"</t>
        </r>
        <r>
          <rPr>
            <sz val="10"/>
            <color indexed="81"/>
            <rFont val="Tahoma"/>
            <family val="2"/>
          </rPr>
          <t xml:space="preserve"> (usually, measured trees)
   This may not be the current version of the spreadsheet (see about *BAR, cell E20).  The spreadsheet has </t>
        </r>
        <r>
          <rPr>
            <u/>
            <sz val="10"/>
            <color indexed="81"/>
            <rFont val="Tahoma"/>
            <family val="2"/>
          </rPr>
          <t>no</t>
        </r>
        <r>
          <rPr>
            <sz val="10"/>
            <color indexed="81"/>
            <rFont val="Tahoma"/>
            <family val="2"/>
          </rPr>
          <t xml:space="preserve"> macros.
This spreadsheet using the "product estimate" approach of (average point Basal area * average VBAR) to estimate volume/acre or hectare.  This is sometimes known as "Bruce's method" for stand volume in forestry - but is well known as a statistical approach.</t>
        </r>
      </text>
    </comment>
    <comment ref="N1" authorId="0" shapeId="0" xr:uid="{F517889E-F2F3-4041-B40B-21CBFEA1E046}">
      <text>
        <r>
          <rPr>
            <sz val="10"/>
            <color indexed="81"/>
            <rFont val="Tahoma"/>
            <family val="2"/>
          </rPr>
          <t xml:space="preserve">  This is the </t>
        </r>
        <r>
          <rPr>
            <sz val="10"/>
            <color indexed="10"/>
            <rFont val="Tahoma"/>
            <family val="2"/>
          </rPr>
          <t>midpoint interval</t>
        </r>
        <r>
          <rPr>
            <sz val="10"/>
            <color indexed="81"/>
            <rFont val="Tahoma"/>
            <family val="2"/>
          </rPr>
          <t xml:space="preserve"> for displaying data on some of the graphs.  It is copied from cell B11, but </t>
        </r>
        <r>
          <rPr>
            <sz val="10"/>
            <color indexed="10"/>
            <rFont val="Tahoma"/>
            <family val="2"/>
          </rPr>
          <t xml:space="preserve">you can change the midpoint </t>
        </r>
        <r>
          <rPr>
            <sz val="10"/>
            <color indexed="18"/>
            <rFont val="Tahoma"/>
            <family val="2"/>
          </rPr>
          <t xml:space="preserve">by </t>
        </r>
        <r>
          <rPr>
            <sz val="10"/>
            <color indexed="81"/>
            <rFont val="Tahoma"/>
            <family val="2"/>
          </rPr>
          <t xml:space="preserve">using the increment in cell L2.  If you put in -20, the midpoint will be shifted down to 20. </t>
        </r>
      </text>
    </comment>
    <comment ref="P1" authorId="0" shapeId="0" xr:uid="{F144DFF2-A8FC-4036-A086-89F6A9605292}">
      <text>
        <r>
          <rPr>
            <sz val="10"/>
            <color indexed="81"/>
            <rFont val="Tahoma"/>
            <family val="2"/>
          </rPr>
          <t xml:space="preserve">  This is the interval for the tree count numbers displayed in column I, 6-24.  </t>
        </r>
        <r>
          <rPr>
            <sz val="10"/>
            <color indexed="10"/>
            <rFont val="Tahoma"/>
            <family val="2"/>
          </rPr>
          <t>Enter the interval you want to use.</t>
        </r>
      </text>
    </comment>
    <comment ref="U1" authorId="0" shapeId="0" xr:uid="{19B2B843-42F1-4D45-A4FE-44D1275A53AA}">
      <text>
        <r>
          <rPr>
            <sz val="10"/>
            <color indexed="81"/>
            <rFont val="Tahoma"/>
            <family val="2"/>
          </rPr>
          <t xml:space="preserve">  This is the </t>
        </r>
        <r>
          <rPr>
            <u/>
            <sz val="10"/>
            <color indexed="81"/>
            <rFont val="Tahoma"/>
            <family val="2"/>
          </rPr>
          <t>midpoint</t>
        </r>
        <r>
          <rPr>
            <sz val="10"/>
            <color indexed="81"/>
            <rFont val="Tahoma"/>
            <family val="2"/>
          </rPr>
          <t xml:space="preserve"> for the SE% (in cell Q15) and this range is displayed on some of the graphs in the Graph Worksheet.  
  </t>
        </r>
        <r>
          <rPr>
            <sz val="10"/>
            <color indexed="10"/>
            <rFont val="Tahoma"/>
            <family val="2"/>
          </rPr>
          <t>Enter the midpoint you want to use.</t>
        </r>
      </text>
    </comment>
    <comment ref="X1" authorId="0" shapeId="0" xr:uid="{11B6ADCB-F6BF-4825-913C-F1A8CAAA93E5}">
      <text>
        <r>
          <rPr>
            <sz val="10"/>
            <color indexed="81"/>
            <rFont val="Tahoma"/>
            <family val="2"/>
          </rPr>
          <t xml:space="preserve">  This the increment for the range in column R.  This is displayed on the graphs, and you may want a different increment (especially if it goes negative.
  </t>
        </r>
        <r>
          <rPr>
            <sz val="10"/>
            <color indexed="10"/>
            <rFont val="Tahoma"/>
            <family val="2"/>
          </rPr>
          <t>Enter the increment you want to use.</t>
        </r>
      </text>
    </comment>
    <comment ref="M2" authorId="0" shapeId="0" xr:uid="{6EA0E948-5FD3-499D-A4EC-A4947BE9F056}">
      <text>
        <r>
          <rPr>
            <sz val="10"/>
            <color indexed="81"/>
            <rFont val="Tahoma"/>
            <family val="2"/>
          </rPr>
          <t xml:space="preserve">  This will change the </t>
        </r>
        <r>
          <rPr>
            <u/>
            <sz val="10"/>
            <color indexed="81"/>
            <rFont val="Tahoma"/>
            <family val="2"/>
          </rPr>
          <t>starting point</t>
        </r>
        <r>
          <rPr>
            <sz val="10"/>
            <color indexed="81"/>
            <rFont val="Tahoma"/>
            <family val="2"/>
          </rPr>
          <t xml:space="preserve"> of the number of tree counts in cell I15.  </t>
        </r>
        <r>
          <rPr>
            <sz val="10"/>
            <color indexed="10"/>
            <rFont val="Tahoma"/>
            <family val="2"/>
          </rPr>
          <t>Enter the change you want to apply to the starting point.</t>
        </r>
      </text>
    </comment>
    <comment ref="B3" authorId="0" shapeId="0" xr:uid="{8EB4B36B-3EA8-4020-9653-5EF15253683A}">
      <text>
        <r>
          <rPr>
            <sz val="10"/>
            <color indexed="81"/>
            <rFont val="Tahoma"/>
            <family val="2"/>
          </rPr>
          <t xml:space="preserve">  This is the </t>
        </r>
        <r>
          <rPr>
            <sz val="10"/>
            <color indexed="10"/>
            <rFont val="Tahoma"/>
            <family val="2"/>
          </rPr>
          <t>CV of the TREE COUNT</t>
        </r>
        <r>
          <rPr>
            <sz val="10"/>
            <color indexed="81"/>
            <rFont val="Tahoma"/>
            <family val="2"/>
          </rPr>
          <t xml:space="preserve"> </t>
        </r>
        <r>
          <rPr>
            <sz val="10"/>
            <color indexed="10"/>
            <rFont val="Tahoma"/>
            <family val="2"/>
          </rPr>
          <t>from point to point.</t>
        </r>
        <r>
          <rPr>
            <sz val="10"/>
            <color indexed="81"/>
            <rFont val="Tahoma"/>
            <family val="2"/>
          </rPr>
          <t xml:space="preserve"> 
  It can be quickly calculated using a hand calculator from past data (either for total tree count, or for tree count by species).
  In most cases, you would use the total tree count.</t>
        </r>
        <r>
          <rPr>
            <sz val="10"/>
            <color indexed="81"/>
            <rFont val="Tahoma"/>
            <family val="2"/>
          </rPr>
          <t xml:space="preserve">
</t>
        </r>
      </text>
    </comment>
    <comment ref="E3" authorId="0" shapeId="0" xr:uid="{2AC7508C-1818-432D-A7B8-64F43049C954}">
      <text>
        <r>
          <rPr>
            <sz val="10"/>
            <color indexed="81"/>
            <rFont val="Tahoma"/>
            <family val="2"/>
          </rPr>
          <t xml:space="preserve">  Insert </t>
        </r>
        <r>
          <rPr>
            <sz val="10"/>
            <color indexed="10"/>
            <rFont val="Tahoma"/>
            <family val="2"/>
          </rPr>
          <t>cost</t>
        </r>
        <r>
          <rPr>
            <sz val="10"/>
            <color indexed="81"/>
            <rFont val="Tahoma"/>
            <family val="2"/>
          </rPr>
          <t xml:space="preserve"> for making a </t>
        </r>
        <r>
          <rPr>
            <sz val="10"/>
            <color indexed="10"/>
            <rFont val="Tahoma"/>
            <family val="2"/>
          </rPr>
          <t>tree count,</t>
        </r>
        <r>
          <rPr>
            <sz val="10"/>
            <color indexed="81"/>
            <rFont val="Tahoma"/>
            <family val="2"/>
          </rPr>
          <t xml:space="preserve"> in dollars or time.
  You </t>
        </r>
        <r>
          <rPr>
            <i/>
            <sz val="10"/>
            <color indexed="81"/>
            <rFont val="Tahoma"/>
            <family val="2"/>
          </rPr>
          <t>could</t>
        </r>
        <r>
          <rPr>
            <sz val="10"/>
            <color indexed="81"/>
            <rFont val="Tahoma"/>
            <family val="2"/>
          </rPr>
          <t xml:space="preserve"> also include the travel time between plots in this amount, but the cost of traveling the area is probably a </t>
        </r>
        <r>
          <rPr>
            <u/>
            <sz val="10"/>
            <color indexed="81"/>
            <rFont val="Tahoma"/>
            <family val="2"/>
          </rPr>
          <t>fixed</t>
        </r>
        <r>
          <rPr>
            <sz val="10"/>
            <color indexed="81"/>
            <rFont val="Tahoma"/>
            <family val="2"/>
          </rPr>
          <t xml:space="preserve"> cost, since you have to cover the area with any sampling scheme.  This is best used as the cost  just taking a </t>
        </r>
        <r>
          <rPr>
            <u/>
            <sz val="10"/>
            <color indexed="81"/>
            <rFont val="Tahoma"/>
            <family val="2"/>
          </rPr>
          <t>tree count.</t>
        </r>
      </text>
    </comment>
    <comment ref="H3" authorId="0" shapeId="0" xr:uid="{C0261BAD-5C81-42FE-B540-9AA305ADD86B}">
      <text>
        <r>
          <rPr>
            <sz val="10"/>
            <color indexed="81"/>
            <rFont val="Tahoma"/>
            <family val="2"/>
          </rPr>
          <t xml:space="preserve">   You can </t>
        </r>
        <r>
          <rPr>
            <sz val="10"/>
            <color indexed="10"/>
            <rFont val="Tahoma"/>
            <family val="2"/>
          </rPr>
          <t>enter up to 3 fixed costs</t>
        </r>
        <r>
          <rPr>
            <sz val="10"/>
            <color indexed="81"/>
            <rFont val="Tahoma"/>
            <family val="2"/>
          </rPr>
          <t xml:space="preserve"> (in time or dollars) which are identified individually.  These will be combined with the variable costs for counts or VBARs. 
   </t>
        </r>
        <r>
          <rPr>
            <sz val="10"/>
            <color indexed="10"/>
            <rFont val="Tahoma"/>
            <family val="2"/>
          </rPr>
          <t xml:space="preserve">To </t>
        </r>
        <r>
          <rPr>
            <u/>
            <sz val="10"/>
            <color indexed="10"/>
            <rFont val="Tahoma"/>
            <family val="2"/>
          </rPr>
          <t>clear</t>
        </r>
        <r>
          <rPr>
            <sz val="10"/>
            <color indexed="10"/>
            <rFont val="Tahoma"/>
            <family val="2"/>
          </rPr>
          <t xml:space="preserve"> these, use "delete" or just put in a </t>
        </r>
        <r>
          <rPr>
            <u/>
            <sz val="10"/>
            <color indexed="10"/>
            <rFont val="Tahoma"/>
            <family val="2"/>
          </rPr>
          <t>zero</t>
        </r>
        <r>
          <rPr>
            <u/>
            <sz val="10"/>
            <color indexed="81"/>
            <rFont val="Tahoma"/>
            <family val="2"/>
          </rPr>
          <t>,</t>
        </r>
        <r>
          <rPr>
            <sz val="10"/>
            <color indexed="81"/>
            <rFont val="Tahoma"/>
            <family val="2"/>
          </rPr>
          <t xml:space="preserve"> rather than putting in a blank, which would cause computation problems.
   This cost is considered in the </t>
        </r>
        <r>
          <rPr>
            <i/>
            <sz val="10"/>
            <color indexed="81"/>
            <rFont val="Tahoma"/>
            <family val="2"/>
          </rPr>
          <t>overall</t>
        </r>
        <r>
          <rPr>
            <sz val="10"/>
            <color indexed="81"/>
            <rFont val="Tahoma"/>
            <family val="2"/>
          </rPr>
          <t xml:space="preserve"> cost and efficiency, which is different than the </t>
        </r>
        <r>
          <rPr>
            <i/>
            <sz val="10"/>
            <color indexed="81"/>
            <rFont val="Tahoma"/>
            <family val="2"/>
          </rPr>
          <t>field</t>
        </r>
        <r>
          <rPr>
            <sz val="10"/>
            <color indexed="81"/>
            <rFont val="Tahoma"/>
            <family val="2"/>
          </rPr>
          <t xml:space="preserve"> efficiency (cost AT the plot) for the measurements. </t>
        </r>
      </text>
    </comment>
    <comment ref="I4" authorId="1" shapeId="0" xr:uid="{B760578C-CDCC-4C2B-9DD0-FE5D23018CBA}">
      <text>
        <r>
          <rPr>
            <b/>
            <sz val="9"/>
            <color indexed="81"/>
            <rFont val="Tahoma"/>
            <family val="2"/>
          </rPr>
          <t>Kim Iles :</t>
        </r>
        <r>
          <rPr>
            <sz val="9"/>
            <color indexed="81"/>
            <rFont val="Tahoma"/>
            <family val="2"/>
          </rPr>
          <t xml:space="preserve">
</t>
        </r>
      </text>
    </comment>
    <comment ref="B5" authorId="0" shapeId="0" xr:uid="{1F340ECF-DEF6-402E-B19B-12FB1AB3C3EC}">
      <text>
        <r>
          <rPr>
            <b/>
            <sz val="10"/>
            <color indexed="10"/>
            <rFont val="Tahoma"/>
            <family val="2"/>
          </rPr>
          <t>This is the CV of the *BAR ratio.</t>
        </r>
        <r>
          <rPr>
            <sz val="10"/>
            <color indexed="81"/>
            <rFont val="Tahoma"/>
            <family val="2"/>
          </rPr>
          <t xml:space="preserve">
  In most cases, this ratio will be the </t>
        </r>
        <r>
          <rPr>
            <sz val="10"/>
            <color indexed="10"/>
            <rFont val="Tahoma"/>
            <family val="2"/>
          </rPr>
          <t>tree Volume</t>
        </r>
        <r>
          <rPr>
            <sz val="10"/>
            <color indexed="81"/>
            <rFont val="Tahoma"/>
            <family val="2"/>
          </rPr>
          <t xml:space="preserve"> divided by the </t>
        </r>
        <r>
          <rPr>
            <sz val="10"/>
            <color indexed="10"/>
            <rFont val="Tahoma"/>
            <family val="2"/>
          </rPr>
          <t>Basal Area</t>
        </r>
        <r>
          <rPr>
            <sz val="10"/>
            <color indexed="81"/>
            <rFont val="Tahoma"/>
            <family val="2"/>
          </rPr>
          <t xml:space="preserve"> for trees in your Variable Plot sample.
       [  </t>
        </r>
        <r>
          <rPr>
            <u/>
            <sz val="10"/>
            <color indexed="81"/>
            <rFont val="Tahoma"/>
            <family val="2"/>
          </rPr>
          <t>roughly,</t>
        </r>
        <r>
          <rPr>
            <sz val="10"/>
            <color indexed="81"/>
            <rFont val="Tahoma"/>
            <family val="2"/>
          </rPr>
          <t xml:space="preserve"> for </t>
        </r>
        <r>
          <rPr>
            <i/>
            <sz val="10"/>
            <color indexed="81"/>
            <rFont val="Tahoma"/>
            <family val="2"/>
          </rPr>
          <t>gross</t>
        </r>
        <r>
          <rPr>
            <sz val="10"/>
            <color indexed="81"/>
            <rFont val="Tahoma"/>
            <family val="2"/>
          </rPr>
          <t xml:space="preserve"> VBAR, use CV of tree height, and 
          for </t>
        </r>
        <r>
          <rPr>
            <i/>
            <sz val="10"/>
            <color indexed="81"/>
            <rFont val="Tahoma"/>
            <family val="2"/>
          </rPr>
          <t>Net</t>
        </r>
        <r>
          <rPr>
            <sz val="10"/>
            <color indexed="81"/>
            <rFont val="Tahoma"/>
            <family val="2"/>
          </rPr>
          <t xml:space="preserve"> VBAR, use CV of {tree height * % sound}   ]
Since </t>
        </r>
        <r>
          <rPr>
            <i/>
            <sz val="10"/>
            <color indexed="81"/>
            <rFont val="Tahoma"/>
            <family val="2"/>
          </rPr>
          <t>many</t>
        </r>
        <r>
          <rPr>
            <sz val="10"/>
            <color indexed="81"/>
            <rFont val="Tahoma"/>
            <family val="2"/>
          </rPr>
          <t xml:space="preserve"> items could be divided by the BA, I use the general term "</t>
        </r>
        <r>
          <rPr>
            <b/>
            <sz val="10"/>
            <color indexed="10"/>
            <rFont val="Tahoma"/>
            <family val="2"/>
          </rPr>
          <t>*</t>
        </r>
        <r>
          <rPr>
            <sz val="10"/>
            <color indexed="81"/>
            <rFont val="Tahoma"/>
            <family val="2"/>
          </rPr>
          <t xml:space="preserve">BAR".
  You might also want to use the </t>
        </r>
        <r>
          <rPr>
            <sz val="10"/>
            <color indexed="10"/>
            <rFont val="Tahoma"/>
            <family val="2"/>
          </rPr>
          <t>Dollar value</t>
        </r>
        <r>
          <rPr>
            <sz val="10"/>
            <color indexed="81"/>
            <rFont val="Tahoma"/>
            <family val="2"/>
          </rPr>
          <t xml:space="preserve"> divided by the BA of the tree (called $BAR).  Entering this, you can compute the most efficient cruise for stand </t>
        </r>
        <r>
          <rPr>
            <sz val="10"/>
            <color indexed="10"/>
            <rFont val="Tahoma"/>
            <family val="2"/>
          </rPr>
          <t>value</t>
        </r>
        <r>
          <rPr>
            <sz val="10"/>
            <color indexed="81"/>
            <rFont val="Tahoma"/>
            <family val="2"/>
          </rPr>
          <t xml:space="preserve">.  This avoids the complexity of trying to work with the grades of logs, by combining them into a single number that reflects tree value (the main issue with grades anyway).
--------------------------------------
   If you choose to measure </t>
        </r>
        <r>
          <rPr>
            <sz val="10"/>
            <color indexed="10"/>
            <rFont val="Tahoma"/>
            <family val="2"/>
          </rPr>
          <t>all</t>
        </r>
        <r>
          <rPr>
            <sz val="10"/>
            <color indexed="81"/>
            <rFont val="Tahoma"/>
            <family val="2"/>
          </rPr>
          <t xml:space="preserve"> the trees at </t>
        </r>
        <r>
          <rPr>
            <sz val="10"/>
            <color indexed="10"/>
            <rFont val="Tahoma"/>
            <family val="2"/>
          </rPr>
          <t>some</t>
        </r>
        <r>
          <rPr>
            <sz val="10"/>
            <color indexed="81"/>
            <rFont val="Tahoma"/>
            <family val="2"/>
          </rPr>
          <t xml:space="preserve"> </t>
        </r>
        <r>
          <rPr>
            <sz val="10"/>
            <color indexed="10"/>
            <rFont val="Tahoma"/>
            <family val="2"/>
          </rPr>
          <t>sample points,</t>
        </r>
        <r>
          <rPr>
            <sz val="10"/>
            <color indexed="81"/>
            <rFont val="Tahoma"/>
            <family val="2"/>
          </rPr>
          <t xml:space="preserve"> you </t>
        </r>
        <r>
          <rPr>
            <u/>
            <sz val="10"/>
            <color indexed="81"/>
            <rFont val="Tahoma"/>
            <family val="2"/>
          </rPr>
          <t>could</t>
        </r>
        <r>
          <rPr>
            <sz val="10"/>
            <color indexed="81"/>
            <rFont val="Tahoma"/>
            <family val="2"/>
          </rPr>
          <t xml:space="preserve"> enter the CV (and cost) of the </t>
        </r>
        <r>
          <rPr>
            <u/>
            <sz val="10"/>
            <color indexed="81"/>
            <rFont val="Tahoma"/>
            <family val="2"/>
          </rPr>
          <t>average</t>
        </r>
        <r>
          <rPr>
            <sz val="10"/>
            <color indexed="81"/>
            <rFont val="Tahoma"/>
            <family val="2"/>
          </rPr>
          <t xml:space="preserve"> *BAR at each point for ALL trees at the point, and thereby calculate the number of fully measured sample points.
 </t>
        </r>
        <r>
          <rPr>
            <sz val="10"/>
            <color indexed="10"/>
            <rFont val="Tahoma"/>
            <family val="2"/>
          </rPr>
          <t xml:space="preserve">  For practical purposes,</t>
        </r>
        <r>
          <rPr>
            <sz val="10"/>
            <color indexed="81"/>
            <rFont val="Tahoma"/>
            <family val="2"/>
          </rPr>
          <t xml:space="preserve"> most people compute the </t>
        </r>
        <r>
          <rPr>
            <i/>
            <sz val="10"/>
            <color indexed="81"/>
            <rFont val="Tahoma"/>
            <family val="2"/>
          </rPr>
          <t xml:space="preserve">number of trees </t>
        </r>
        <r>
          <rPr>
            <sz val="10"/>
            <color indexed="81"/>
            <rFont val="Tahoma"/>
            <family val="2"/>
          </rPr>
          <t>using the</t>
        </r>
        <r>
          <rPr>
            <i/>
            <sz val="10"/>
            <color indexed="81"/>
            <rFont val="Tahoma"/>
            <family val="2"/>
          </rPr>
          <t xml:space="preserve"> individual tree VBAR,</t>
        </r>
        <r>
          <rPr>
            <sz val="10"/>
            <color indexed="81"/>
            <rFont val="Tahoma"/>
            <family val="2"/>
          </rPr>
          <t xml:space="preserve"> </t>
        </r>
        <r>
          <rPr>
            <i/>
            <sz val="10"/>
            <color indexed="81"/>
            <rFont val="Tahoma"/>
            <family val="2"/>
          </rPr>
          <t>then divide that by the average number of trees/point</t>
        </r>
        <r>
          <rPr>
            <sz val="10"/>
            <color indexed="81"/>
            <rFont val="Tahoma"/>
            <family val="2"/>
          </rPr>
          <t xml:space="preserve"> to find the number of points where you measure </t>
        </r>
        <r>
          <rPr>
            <i/>
            <sz val="10"/>
            <color indexed="81"/>
            <rFont val="Tahoma"/>
            <family val="2"/>
          </rPr>
          <t>all</t>
        </r>
        <r>
          <rPr>
            <sz val="10"/>
            <color indexed="81"/>
            <rFont val="Tahoma"/>
            <family val="2"/>
          </rPr>
          <t xml:space="preserve"> the trees.  This is not as efficient as spreading the trees throughout the stand (using a second BAF or random selection, for instance).  There is usually a way to work the computer program which will allow you to use  "distributed VBARs" gathered in this way.  </t>
        </r>
      </text>
    </comment>
    <comment ref="E5" authorId="0" shapeId="0" xr:uid="{BB4EB815-80BD-4A6A-8EED-B4B175C3EC04}">
      <text>
        <r>
          <rPr>
            <sz val="10"/>
            <color indexed="81"/>
            <rFont val="Arial"/>
            <family val="2"/>
          </rPr>
          <t xml:space="preserve">  Insert </t>
        </r>
        <r>
          <rPr>
            <sz val="10"/>
            <color indexed="10"/>
            <rFont val="Arial"/>
            <family val="2"/>
          </rPr>
          <t>cost</t>
        </r>
        <r>
          <rPr>
            <sz val="10"/>
            <color indexed="81"/>
            <rFont val="Arial"/>
            <family val="2"/>
          </rPr>
          <t xml:space="preserve"> </t>
        </r>
        <r>
          <rPr>
            <sz val="10"/>
            <color indexed="10"/>
            <rFont val="Arial"/>
            <family val="2"/>
          </rPr>
          <t>of measuring a tree,</t>
        </r>
        <r>
          <rPr>
            <sz val="10"/>
            <color indexed="81"/>
            <rFont val="Arial"/>
            <family val="2"/>
          </rPr>
          <t xml:space="preserve"> in </t>
        </r>
        <r>
          <rPr>
            <sz val="10"/>
            <color indexed="10"/>
            <rFont val="Arial"/>
            <family val="2"/>
          </rPr>
          <t>dollars or time.</t>
        </r>
        <r>
          <rPr>
            <sz val="10"/>
            <color indexed="81"/>
            <rFont val="Arial"/>
            <family val="2"/>
          </rPr>
          <t xml:space="preserve">  The computation will then favor "cheaper" measurements.
  </t>
        </r>
        <r>
          <rPr>
            <sz val="8"/>
            <color indexed="81"/>
            <rFont val="Arial"/>
            <family val="2"/>
          </rPr>
          <t xml:space="preserve"> </t>
        </r>
        <r>
          <rPr>
            <sz val="8"/>
            <color indexed="10"/>
            <rFont val="Arial"/>
            <family val="2"/>
          </rPr>
          <t>If</t>
        </r>
        <r>
          <rPr>
            <sz val="8"/>
            <color indexed="81"/>
            <rFont val="Arial"/>
            <family val="2"/>
          </rPr>
          <t xml:space="preserve"> you entered the CV of the </t>
        </r>
        <r>
          <rPr>
            <sz val="8"/>
            <color indexed="10"/>
            <rFont val="Arial"/>
            <family val="2"/>
          </rPr>
          <t>average</t>
        </r>
        <r>
          <rPr>
            <sz val="8"/>
            <color indexed="81"/>
            <rFont val="Arial"/>
            <family val="2"/>
          </rPr>
          <t xml:space="preserve"> VBAR in a cluster (and I would not), this is the average cost of measuring </t>
        </r>
        <r>
          <rPr>
            <sz val="8"/>
            <color indexed="10"/>
            <rFont val="Arial"/>
            <family val="2"/>
          </rPr>
          <t>all</t>
        </r>
        <r>
          <rPr>
            <sz val="8"/>
            <color indexed="81"/>
            <rFont val="Arial"/>
            <family val="2"/>
          </rPr>
          <t xml:space="preserve"> the trees in a cluster.</t>
        </r>
      </text>
    </comment>
    <comment ref="D7" authorId="0" shapeId="0" xr:uid="{EA3F8164-22DE-4A4B-B1C7-4A49FD328FA3}">
      <text>
        <r>
          <rPr>
            <sz val="10"/>
            <color indexed="81"/>
            <rFont val="Tahoma"/>
            <family val="2"/>
          </rPr>
          <t xml:space="preserve">  This is the </t>
        </r>
        <r>
          <rPr>
            <u/>
            <sz val="10"/>
            <color indexed="10"/>
            <rFont val="Tahoma"/>
            <family val="2"/>
          </rPr>
          <t>ratio</t>
        </r>
        <r>
          <rPr>
            <sz val="10"/>
            <color indexed="10"/>
            <rFont val="Tahoma"/>
            <family val="2"/>
          </rPr>
          <t xml:space="preserve"> of tree counts</t>
        </r>
        <r>
          <rPr>
            <sz val="10"/>
            <color indexed="81"/>
            <rFont val="Tahoma"/>
            <family val="2"/>
          </rPr>
          <t xml:space="preserve"> made at sample points </t>
        </r>
        <r>
          <rPr>
            <sz val="10"/>
            <color indexed="10"/>
            <rFont val="Tahoma"/>
            <family val="2"/>
          </rPr>
          <t>to *BAR measurements (usually trees)</t>
        </r>
        <r>
          <rPr>
            <sz val="10"/>
            <color indexed="81"/>
            <rFont val="Tahoma"/>
            <family val="2"/>
          </rPr>
          <t xml:space="preserve"> taken.</t>
        </r>
      </text>
    </comment>
    <comment ref="H8" authorId="2" shapeId="0" xr:uid="{79BDB7A3-AC33-4ECF-BB3E-525D67903E65}">
      <text>
        <r>
          <rPr>
            <sz val="10"/>
            <color indexed="81"/>
            <rFont val="Tahoma"/>
            <family val="2"/>
          </rPr>
          <t xml:space="preserve">    With the average tree count in cell I15, use a BAF this many </t>
        </r>
        <r>
          <rPr>
            <sz val="10"/>
            <color indexed="10"/>
            <rFont val="Tahoma"/>
            <family val="2"/>
          </rPr>
          <t>times</t>
        </r>
        <r>
          <rPr>
            <sz val="10"/>
            <color indexed="81"/>
            <rFont val="Tahoma"/>
            <family val="2"/>
          </rPr>
          <t xml:space="preserve"> larger than the one for counting trees and you will automatically end up with about the right number of measured trees.
   The advantage is that the trees will be spread throughout the stand, rather than in clumps.  This is called the "Big BAF method" of selecting measured trees.</t>
        </r>
      </text>
    </comment>
    <comment ref="D9" authorId="0" shapeId="0" xr:uid="{BFCFFA50-DE7A-4082-BC2B-F30B01DB130A}">
      <text>
        <r>
          <rPr>
            <sz val="10"/>
            <color indexed="81"/>
            <rFont val="Tahoma"/>
            <family val="2"/>
          </rPr>
          <t xml:space="preserve">   This is </t>
        </r>
        <r>
          <rPr>
            <b/>
            <sz val="10"/>
            <color indexed="81"/>
            <rFont val="Tahoma"/>
            <family val="2"/>
          </rPr>
          <t>"</t>
        </r>
        <r>
          <rPr>
            <b/>
            <sz val="10"/>
            <color indexed="10"/>
            <rFont val="Tahoma"/>
            <family val="2"/>
          </rPr>
          <t>ONE</t>
        </r>
        <r>
          <rPr>
            <sz val="10"/>
            <color indexed="10"/>
            <rFont val="Tahoma"/>
            <family val="2"/>
          </rPr>
          <t xml:space="preserve"> Standard Error</t>
        </r>
        <r>
          <rPr>
            <sz val="10"/>
            <color indexed="81"/>
            <rFont val="Tahoma"/>
            <family val="2"/>
          </rPr>
          <t>" in percent.  If the total error% is 7% for 95% confidence (t=2), this would be entered as 3.5% in cell D9.</t>
        </r>
        <r>
          <rPr>
            <sz val="10"/>
            <color indexed="81"/>
            <rFont val="Tahoma"/>
            <family val="2"/>
          </rPr>
          <t xml:space="preserve">
</t>
        </r>
      </text>
    </comment>
    <comment ref="H9" authorId="3" shapeId="0" xr:uid="{2306B97B-C0B2-4226-A4D2-C85ED5AB638B}">
      <text>
        <r>
          <rPr>
            <sz val="10"/>
            <color indexed="81"/>
            <rFont val="Tahoma"/>
            <family val="2"/>
          </rPr>
          <t xml:space="preserve">  These gold cells are unprotected so you can record </t>
        </r>
        <r>
          <rPr>
            <sz val="10"/>
            <color indexed="10"/>
            <rFont val="Tahoma"/>
            <family val="2"/>
          </rPr>
          <t>comments</t>
        </r>
        <r>
          <rPr>
            <sz val="10"/>
            <color indexed="81"/>
            <rFont val="Tahoma"/>
            <family val="2"/>
          </rPr>
          <t xml:space="preserve"> or </t>
        </r>
        <r>
          <rPr>
            <sz val="10"/>
            <color indexed="10"/>
            <rFont val="Tahoma"/>
            <family val="2"/>
          </rPr>
          <t>calculations</t>
        </r>
        <r>
          <rPr>
            <sz val="10"/>
            <color indexed="81"/>
            <rFont val="Tahoma"/>
            <family val="2"/>
          </rPr>
          <t xml:space="preserve"> of interest to the data entered.
  These comments will be printed with the data if you print the section that copies these results at the bottom of the spreadsheet (line 115, for instance).
</t>
        </r>
      </text>
    </comment>
    <comment ref="C11" authorId="0" shapeId="0" xr:uid="{4B1C0FE4-198A-4C9E-91BE-8BDFB344039C}">
      <text>
        <r>
          <rPr>
            <sz val="10"/>
            <color indexed="81"/>
            <rFont val="Tahoma"/>
            <family val="2"/>
          </rPr>
          <t xml:space="preserve">  This is the </t>
        </r>
        <r>
          <rPr>
            <sz val="10"/>
            <color indexed="10"/>
            <rFont val="Tahoma"/>
            <family val="2"/>
          </rPr>
          <t>number of points</t>
        </r>
        <r>
          <rPr>
            <sz val="10"/>
            <color indexed="81"/>
            <rFont val="Tahoma"/>
            <family val="2"/>
          </rPr>
          <t xml:space="preserve"> you should visit and make a tree count.</t>
        </r>
      </text>
    </comment>
    <comment ref="E11" authorId="0" shapeId="0" xr:uid="{95E64529-659B-49FE-BFF0-3916578C992C}">
      <text>
        <r>
          <rPr>
            <sz val="10"/>
            <color indexed="81"/>
            <rFont val="Tahoma"/>
            <family val="2"/>
          </rPr>
          <t xml:space="preserve">  </t>
        </r>
        <r>
          <rPr>
            <sz val="10"/>
            <color indexed="12"/>
            <rFont val="Tahoma"/>
            <family val="2"/>
          </rPr>
          <t xml:space="preserve"> This is the calculated</t>
        </r>
        <r>
          <rPr>
            <sz val="10"/>
            <color indexed="81"/>
            <rFont val="Tahoma"/>
            <family val="2"/>
          </rPr>
          <t xml:space="preserve"> </t>
        </r>
        <r>
          <rPr>
            <sz val="10"/>
            <color indexed="10"/>
            <rFont val="Tahoma"/>
            <family val="2"/>
          </rPr>
          <t xml:space="preserve">SE% for the </t>
        </r>
        <r>
          <rPr>
            <u/>
            <sz val="10"/>
            <color indexed="10"/>
            <rFont val="Tahoma"/>
            <family val="2"/>
          </rPr>
          <t>basal area</t>
        </r>
        <r>
          <rPr>
            <sz val="10"/>
            <color indexed="10"/>
            <rFont val="Tahoma"/>
            <family val="2"/>
          </rPr>
          <t xml:space="preserve"> (or tree count) </t>
        </r>
        <r>
          <rPr>
            <sz val="10"/>
            <color indexed="12"/>
            <rFont val="Tahoma"/>
            <family val="2"/>
          </rPr>
          <t>using this number of sample points.  
   It is balanced with the number of VBAR measurements in order to minimize overall cost.</t>
        </r>
      </text>
    </comment>
    <comment ref="G11" authorId="0" shapeId="0" xr:uid="{614C8CE5-30AF-4580-A710-567228862ECE}">
      <text>
        <r>
          <rPr>
            <sz val="10"/>
            <color indexed="81"/>
            <rFont val="Tahoma"/>
            <family val="2"/>
          </rPr>
          <t xml:space="preserve">  This is the </t>
        </r>
        <r>
          <rPr>
            <sz val="10"/>
            <color indexed="10"/>
            <rFont val="Tahoma"/>
            <family val="2"/>
          </rPr>
          <t>total cost</t>
        </r>
        <r>
          <rPr>
            <sz val="10"/>
            <color indexed="81"/>
            <rFont val="Tahoma"/>
            <family val="2"/>
          </rPr>
          <t xml:space="preserve"> of the optimized "count vs. measure" ratio, including the fixed costs, </t>
        </r>
        <r>
          <rPr>
            <sz val="10"/>
            <color indexed="10"/>
            <rFont val="Tahoma"/>
            <family val="2"/>
          </rPr>
          <t>to provide you the SE% you required.</t>
        </r>
        <r>
          <rPr>
            <sz val="10"/>
            <color indexed="81"/>
            <rFont val="Tahoma"/>
            <family val="2"/>
          </rPr>
          <t xml:space="preserve">
  If you want to add extra plots (or try a different ratio of count vs. measure plots) it gives you a reference for the efficiency for the other alternatives.</t>
        </r>
      </text>
    </comment>
    <comment ref="I11" authorId="0" shapeId="0" xr:uid="{6E718AA8-B02A-4105-AF52-C750C6B0A9D8}">
      <text>
        <r>
          <rPr>
            <sz val="10"/>
            <color indexed="81"/>
            <rFont val="Tahoma"/>
            <family val="2"/>
          </rPr>
          <t xml:space="preserve">This is the </t>
        </r>
        <r>
          <rPr>
            <sz val="10"/>
            <color indexed="10"/>
            <rFont val="Tahoma"/>
            <family val="2"/>
          </rPr>
          <t>cost per sample point.</t>
        </r>
        <r>
          <rPr>
            <sz val="10"/>
            <color indexed="81"/>
            <rFont val="Tahoma"/>
            <family val="2"/>
          </rPr>
          <t xml:space="preserve">  It is simply the total cost divided by the number of sample points visited.</t>
        </r>
      </text>
    </comment>
    <comment ref="C12" authorId="0" shapeId="0" xr:uid="{103AF7C8-A48D-4EAC-B271-C8E30A6B6F82}">
      <text>
        <r>
          <rPr>
            <sz val="10"/>
            <color indexed="81"/>
            <rFont val="Tahoma"/>
            <family val="2"/>
          </rPr>
          <t xml:space="preserve">   This is the </t>
        </r>
        <r>
          <rPr>
            <sz val="10"/>
            <color indexed="10"/>
            <rFont val="Tahoma"/>
            <family val="2"/>
          </rPr>
          <t xml:space="preserve">number of *BAR </t>
        </r>
        <r>
          <rPr>
            <u/>
            <sz val="10"/>
            <color indexed="10"/>
            <rFont val="Tahoma"/>
            <family val="2"/>
          </rPr>
          <t>measurements</t>
        </r>
        <r>
          <rPr>
            <sz val="10"/>
            <color indexed="81"/>
            <rFont val="Tahoma"/>
            <family val="2"/>
          </rPr>
          <t xml:space="preserve"> you should take for optimal efficiency.
</t>
        </r>
        <r>
          <rPr>
            <sz val="10"/>
            <color indexed="10"/>
            <rFont val="Tahoma"/>
            <family val="2"/>
          </rPr>
          <t xml:space="preserve">   Normally this is the number of </t>
        </r>
        <r>
          <rPr>
            <u/>
            <sz val="10"/>
            <color indexed="10"/>
            <rFont val="Tahoma"/>
            <family val="2"/>
          </rPr>
          <t>trees</t>
        </r>
        <r>
          <rPr>
            <sz val="10"/>
            <color indexed="10"/>
            <rFont val="Tahoma"/>
            <family val="2"/>
          </rPr>
          <t xml:space="preserve"> to measure.</t>
        </r>
        <r>
          <rPr>
            <sz val="10"/>
            <color indexed="81"/>
            <rFont val="Tahoma"/>
            <family val="2"/>
          </rPr>
          <t xml:space="preserve"> 
------------------------------------
</t>
        </r>
        <r>
          <rPr>
            <sz val="10"/>
            <color indexed="12"/>
            <rFont val="Tahoma"/>
            <family val="2"/>
          </rPr>
          <t xml:space="preserve">  I suggest the use of</t>
        </r>
        <r>
          <rPr>
            <sz val="10"/>
            <color indexed="10"/>
            <rFont val="Tahoma"/>
            <family val="2"/>
          </rPr>
          <t xml:space="preserve"> "distributed VBARs" </t>
        </r>
        <r>
          <rPr>
            <sz val="10"/>
            <color indexed="12"/>
            <rFont val="Tahoma"/>
            <family val="2"/>
          </rPr>
          <t xml:space="preserve">where you spread the measurements throughout the stand using a larger BAF (rather than put them all in a few clusters).  This is a personal choice, and the compilation routine must be able to handle that (and can usually be tricked into doing so).  </t>
        </r>
        <r>
          <rPr>
            <b/>
            <sz val="10"/>
            <color indexed="12"/>
            <rFont val="Tahoma"/>
            <family val="2"/>
          </rPr>
          <t>Cell I8</t>
        </r>
        <r>
          <rPr>
            <sz val="10"/>
            <color indexed="12"/>
            <rFont val="Tahoma"/>
            <family val="2"/>
          </rPr>
          <t xml:space="preserve"> gives you a multiplier for the tree counting BAF that will give a second BAF that will select the right number of measure trees.  You could also measure trees as a random percentage of counted trees.
--------------------------------------
  It </t>
        </r>
        <r>
          <rPr>
            <u/>
            <sz val="10"/>
            <color indexed="12"/>
            <rFont val="Tahoma"/>
            <family val="2"/>
          </rPr>
          <t>could</t>
        </r>
        <r>
          <rPr>
            <sz val="10"/>
            <color indexed="12"/>
            <rFont val="Tahoma"/>
            <family val="2"/>
          </rPr>
          <t xml:space="preserve"> also be the number of fully measured sample points, </t>
        </r>
        <r>
          <rPr>
            <u val="double"/>
            <sz val="10"/>
            <color indexed="12"/>
            <rFont val="Tahoma"/>
            <family val="2"/>
          </rPr>
          <t>if</t>
        </r>
        <r>
          <rPr>
            <u/>
            <sz val="10"/>
            <color indexed="12"/>
            <rFont val="Tahoma"/>
            <family val="2"/>
          </rPr>
          <t xml:space="preserve"> you entered the CV of the </t>
        </r>
        <r>
          <rPr>
            <i/>
            <u/>
            <sz val="10"/>
            <color indexed="12"/>
            <rFont val="Tahoma"/>
            <family val="2"/>
          </rPr>
          <t>average</t>
        </r>
        <r>
          <rPr>
            <u/>
            <sz val="10"/>
            <color indexed="12"/>
            <rFont val="Tahoma"/>
            <family val="2"/>
          </rPr>
          <t xml:space="preserve"> *BAR of a cluster of trees</t>
        </r>
        <r>
          <rPr>
            <sz val="10"/>
            <color indexed="12"/>
            <rFont val="Tahoma"/>
            <family val="2"/>
          </rPr>
          <t xml:space="preserve"> in cell C5.  
</t>
        </r>
      </text>
    </comment>
    <comment ref="E12" authorId="0" shapeId="0" xr:uid="{A4957338-16CB-410C-8D5A-6022124AADFB}">
      <text>
        <r>
          <rPr>
            <sz val="10"/>
            <color indexed="81"/>
            <rFont val="Tahoma"/>
            <family val="2"/>
          </rPr>
          <t xml:space="preserve">   This is the calculated </t>
        </r>
        <r>
          <rPr>
            <sz val="10"/>
            <color indexed="10"/>
            <rFont val="Tahoma"/>
            <family val="2"/>
          </rPr>
          <t xml:space="preserve">SE% for the </t>
        </r>
        <r>
          <rPr>
            <u/>
            <sz val="10"/>
            <color indexed="10"/>
            <rFont val="Tahoma"/>
            <family val="2"/>
          </rPr>
          <t>*BAR</t>
        </r>
        <r>
          <rPr>
            <sz val="10"/>
            <color indexed="10"/>
            <rFont val="Tahoma"/>
            <family val="2"/>
          </rPr>
          <t xml:space="preserve"> measurements</t>
        </r>
        <r>
          <rPr>
            <sz val="10"/>
            <color indexed="81"/>
            <rFont val="Tahoma"/>
            <family val="2"/>
          </rPr>
          <t xml:space="preserve"> with this number of measured items (usually trees).  
   It is balanced with the number of </t>
        </r>
        <r>
          <rPr>
            <i/>
            <sz val="10"/>
            <color indexed="81"/>
            <rFont val="Tahoma"/>
            <family val="2"/>
          </rPr>
          <t>tree counts</t>
        </r>
        <r>
          <rPr>
            <sz val="10"/>
            <color indexed="81"/>
            <rFont val="Tahoma"/>
            <family val="2"/>
          </rPr>
          <t xml:space="preserve"> in order to minimize overall cost.</t>
        </r>
      </text>
    </comment>
    <comment ref="I12" authorId="0" shapeId="0" xr:uid="{E4143F4D-0B72-47BA-A70F-D5B574A0B5D8}">
      <text>
        <r>
          <rPr>
            <sz val="10"/>
            <color indexed="81"/>
            <rFont val="Tahoma"/>
            <family val="2"/>
          </rPr>
          <t xml:space="preserve">  There is not really </t>
        </r>
        <r>
          <rPr>
            <i/>
            <sz val="10"/>
            <color indexed="81"/>
            <rFont val="Tahoma"/>
            <family val="2"/>
          </rPr>
          <t>one</t>
        </r>
        <r>
          <rPr>
            <sz val="10"/>
            <color indexed="81"/>
            <rFont val="Tahoma"/>
            <family val="2"/>
          </rPr>
          <t xml:space="preserve"> CV for Variable Plot sampling when you use count and measure plots, because the variability depends on the ratio of Count:Measure plots.
  </t>
        </r>
        <r>
          <rPr>
            <sz val="10"/>
            <color indexed="10"/>
            <rFont val="Tahoma"/>
            <family val="2"/>
          </rPr>
          <t>If you want a reasonable approximation to the CV,</t>
        </r>
        <r>
          <rPr>
            <sz val="10"/>
            <color indexed="81"/>
            <rFont val="Tahoma"/>
            <family val="2"/>
          </rPr>
          <t xml:space="preserve"> </t>
        </r>
        <r>
          <rPr>
            <u/>
            <sz val="10"/>
            <color indexed="81"/>
            <rFont val="Tahoma"/>
            <family val="2"/>
          </rPr>
          <t>using the optimium ratio,</t>
        </r>
        <r>
          <rPr>
            <sz val="10"/>
            <color indexed="81"/>
            <rFont val="Tahoma"/>
            <family val="2"/>
          </rPr>
          <t xml:space="preserve"> then this is a good one.
  If you want to calculate some other sample size, this CV can be plugged into the standard equations where "n" is the number of count plots.</t>
        </r>
      </text>
    </comment>
    <comment ref="B13" authorId="2" shapeId="0" xr:uid="{D0ADFE73-4CD2-421A-83B3-856FB5E6CB99}">
      <text>
        <r>
          <rPr>
            <sz val="10"/>
            <color indexed="81"/>
            <rFont val="Tahoma"/>
            <family val="2"/>
          </rPr>
          <t xml:space="preserve">  Add any notes you want on this long line, starting in cell C13.  It will print when you copy the entire section.
</t>
        </r>
      </text>
    </comment>
    <comment ref="A14" authorId="0" shapeId="0" xr:uid="{73B8CCFD-1473-4634-B75E-D68FD04C5740}">
      <text>
        <r>
          <rPr>
            <sz val="10"/>
            <color indexed="81"/>
            <rFont val="Tahoma"/>
            <family val="2"/>
          </rPr>
          <t xml:space="preserve">  In this Section (with the light green background) you can </t>
        </r>
        <r>
          <rPr>
            <sz val="10"/>
            <color indexed="10"/>
            <rFont val="Tahoma"/>
            <family val="2"/>
          </rPr>
          <t>test</t>
        </r>
        <r>
          <rPr>
            <sz val="10"/>
            <color indexed="81"/>
            <rFont val="Tahoma"/>
            <family val="2"/>
          </rPr>
          <t xml:space="preserve"> </t>
        </r>
        <r>
          <rPr>
            <sz val="10"/>
            <color indexed="10"/>
            <rFont val="Tahoma"/>
            <family val="2"/>
          </rPr>
          <t>other Combinations</t>
        </r>
        <r>
          <rPr>
            <sz val="10"/>
            <color indexed="81"/>
            <rFont val="Tahoma"/>
            <family val="2"/>
          </rPr>
          <t xml:space="preserve"> of points and measurements.
  </t>
        </r>
        <r>
          <rPr>
            <sz val="10"/>
            <color indexed="10"/>
            <rFont val="Tahoma"/>
            <family val="2"/>
          </rPr>
          <t xml:space="preserve">The program will compute the Overall  SE%, and the efficiency of your ratio of counts and tree measurents  There is </t>
        </r>
        <r>
          <rPr>
            <u/>
            <sz val="10"/>
            <color indexed="10"/>
            <rFont val="Tahoma"/>
            <family val="2"/>
          </rPr>
          <t>nothing wrong</t>
        </r>
        <r>
          <rPr>
            <sz val="10"/>
            <color indexed="10"/>
            <rFont val="Tahoma"/>
            <family val="2"/>
          </rPr>
          <t xml:space="preserve"> with making </t>
        </r>
        <r>
          <rPr>
            <u/>
            <sz val="10"/>
            <color indexed="10"/>
            <rFont val="Tahoma"/>
            <family val="2"/>
          </rPr>
          <t>any</t>
        </r>
        <r>
          <rPr>
            <sz val="10"/>
            <color indexed="10"/>
            <rFont val="Tahoma"/>
            <family val="2"/>
          </rPr>
          <t xml:space="preserve"> choice here - it is only a question of efficiency.</t>
        </r>
      </text>
    </comment>
    <comment ref="H14" authorId="4" shapeId="0" xr:uid="{3EB04F7F-690A-47D8-A259-9A23F9FD66E5}">
      <text>
        <r>
          <rPr>
            <sz val="10"/>
            <color indexed="81"/>
            <rFont val="Tahoma"/>
            <family val="2"/>
          </rPr>
          <t>This is the BAF multiplier using the information in C15 &amp; 16.  It will provide the right ratio of count plots</t>
        </r>
      </text>
    </comment>
    <comment ref="I14" authorId="0" shapeId="0" xr:uid="{6BE95C13-7C17-4354-B68E-C5693E7482B8}">
      <text>
        <r>
          <rPr>
            <sz val="10"/>
            <color indexed="81"/>
            <rFont val="Tahoma"/>
            <family val="2"/>
          </rPr>
          <t xml:space="preserve">   If you use one BAF for counting the trees, and another one for choosing the ones to be measured, </t>
        </r>
        <r>
          <rPr>
            <sz val="10"/>
            <color indexed="10"/>
            <rFont val="Tahoma"/>
            <family val="2"/>
          </rPr>
          <t>this is how much larger the second BAF must be for choosing trees.</t>
        </r>
        <r>
          <rPr>
            <sz val="10"/>
            <color indexed="81"/>
            <rFont val="Tahoma"/>
            <family val="2"/>
          </rPr>
          <t xml:space="preserve">  It uses the number of *BAR's you intend to take from cell C16 (these will be individual trees, in this case), plus the average tree count in cell I15 to compute a value.
   If you count with a 20, then (20*multiplier) is the BAF that will produce the desired ratio of measured trees.  If you are choosing trees randomly, then choose (1/multipler) of the count trees.</t>
        </r>
      </text>
    </comment>
    <comment ref="B15" authorId="0" shapeId="0" xr:uid="{D7D9A318-8077-4537-8212-983580948F7D}">
      <text>
        <r>
          <rPr>
            <sz val="10"/>
            <color indexed="81"/>
            <rFont val="Tahoma"/>
            <family val="2"/>
          </rPr>
          <t xml:space="preserve">  In this cell enter the </t>
        </r>
        <r>
          <rPr>
            <sz val="10"/>
            <color indexed="10"/>
            <rFont val="Tahoma"/>
            <family val="2"/>
          </rPr>
          <t>number of points</t>
        </r>
        <r>
          <rPr>
            <sz val="10"/>
            <color indexed="81"/>
            <rFont val="Tahoma"/>
            <family val="2"/>
          </rPr>
          <t xml:space="preserve"> where you intend to do tree counts.</t>
        </r>
      </text>
    </comment>
    <comment ref="D15" authorId="0" shapeId="0" xr:uid="{B00D80E4-2534-4DEA-88C3-7027BADDE14C}">
      <text>
        <r>
          <rPr>
            <sz val="10"/>
            <color indexed="81"/>
            <rFont val="Tahoma"/>
            <family val="2"/>
          </rPr>
          <t xml:space="preserve">    The small numbers in italics are the </t>
        </r>
        <r>
          <rPr>
            <sz val="10"/>
            <color indexed="10"/>
            <rFont val="Tahoma"/>
            <family val="2"/>
          </rPr>
          <t>numbers needed to get the desired SE%</t>
        </r>
        <r>
          <rPr>
            <sz val="10"/>
            <color indexed="81"/>
            <rFont val="Tahoma"/>
            <family val="2"/>
          </rPr>
          <t xml:space="preserve"> you entered in section #1 cell_(D9) in an efficent way.
     It uses the same</t>
        </r>
        <r>
          <rPr>
            <u/>
            <sz val="10"/>
            <color indexed="81"/>
            <rFont val="Tahoma"/>
            <family val="2"/>
          </rPr>
          <t xml:space="preserve"> </t>
        </r>
        <r>
          <rPr>
            <b/>
            <u/>
            <sz val="10"/>
            <color indexed="10"/>
            <rFont val="Tahoma"/>
            <family val="2"/>
          </rPr>
          <t>ratio</t>
        </r>
        <r>
          <rPr>
            <sz val="10"/>
            <color indexed="81"/>
            <rFont val="Tahoma"/>
            <family val="2"/>
          </rPr>
          <t xml:space="preserve"> as the numbers you entered in the yellow cells to the left (C15:16).</t>
        </r>
      </text>
    </comment>
    <comment ref="F15" authorId="0" shapeId="0" xr:uid="{DD58842E-84EA-4626-9C35-A8894C397B37}">
      <text>
        <r>
          <rPr>
            <sz val="10"/>
            <color indexed="81"/>
            <rFont val="Tahoma"/>
            <family val="2"/>
          </rPr>
          <t xml:space="preserve">   This is the calculated </t>
        </r>
        <r>
          <rPr>
            <sz val="10"/>
            <color indexed="10"/>
            <rFont val="Tahoma"/>
            <family val="2"/>
          </rPr>
          <t>SE% for the basal area</t>
        </r>
        <r>
          <rPr>
            <sz val="10"/>
            <color indexed="81"/>
            <rFont val="Tahoma"/>
            <family val="2"/>
          </rPr>
          <t xml:space="preserve"> or tree count (using </t>
        </r>
        <r>
          <rPr>
            <sz val="10"/>
            <color indexed="10"/>
            <rFont val="Tahoma"/>
            <family val="2"/>
          </rPr>
          <t>your</t>
        </r>
        <r>
          <rPr>
            <sz val="10"/>
            <color indexed="81"/>
            <rFont val="Tahoma"/>
            <family val="2"/>
          </rPr>
          <t xml:space="preserve"> number of sample points in cell C15). </t>
        </r>
      </text>
    </comment>
    <comment ref="I15" authorId="0" shapeId="0" xr:uid="{B4A60AC5-A577-4A75-8593-A627BB605EFF}">
      <text>
        <r>
          <rPr>
            <sz val="10"/>
            <color indexed="81"/>
            <rFont val="Tahoma"/>
            <family val="2"/>
          </rPr>
          <t xml:space="preserve">  This is the </t>
        </r>
        <r>
          <rPr>
            <sz val="10"/>
            <color indexed="10"/>
            <rFont val="Tahoma"/>
            <family val="2"/>
          </rPr>
          <t>average tree count you are expecting</t>
        </r>
        <r>
          <rPr>
            <sz val="10"/>
            <color indexed="81"/>
            <rFont val="Tahoma"/>
            <family val="2"/>
          </rPr>
          <t xml:space="preserve"> on the cruise.
-------------------
  Get the </t>
        </r>
        <r>
          <rPr>
            <sz val="10"/>
            <color indexed="10"/>
            <rFont val="Tahoma"/>
            <family val="2"/>
          </rPr>
          <t>approximate basal area</t>
        </r>
        <r>
          <rPr>
            <sz val="10"/>
            <color indexed="81"/>
            <rFont val="Tahoma"/>
            <family val="2"/>
          </rPr>
          <t xml:space="preserve"> on the tract (use </t>
        </r>
        <r>
          <rPr>
            <u/>
            <sz val="10"/>
            <color indexed="81"/>
            <rFont val="Tahoma"/>
            <family val="2"/>
          </rPr>
          <t>any</t>
        </r>
        <r>
          <rPr>
            <sz val="10"/>
            <color indexed="81"/>
            <rFont val="Tahoma"/>
            <family val="2"/>
          </rPr>
          <t xml:space="preserve"> prism, or your calibrated thumb to get this).  
  Then </t>
        </r>
        <r>
          <rPr>
            <sz val="10"/>
            <color indexed="10"/>
            <rFont val="Tahoma"/>
            <family val="2"/>
          </rPr>
          <t>divide it by the BAF</t>
        </r>
        <r>
          <rPr>
            <sz val="10"/>
            <color indexed="81"/>
            <rFont val="Tahoma"/>
            <family val="2"/>
          </rPr>
          <t xml:space="preserve"> you </t>
        </r>
        <r>
          <rPr>
            <u/>
            <sz val="10"/>
            <color indexed="81"/>
            <rFont val="Tahoma"/>
            <family val="2"/>
          </rPr>
          <t>intend</t>
        </r>
        <r>
          <rPr>
            <sz val="10"/>
            <color indexed="81"/>
            <rFont val="Tahoma"/>
            <family val="2"/>
          </rPr>
          <t xml:space="preserve"> to use and you will get the </t>
        </r>
        <r>
          <rPr>
            <sz val="10"/>
            <color indexed="10"/>
            <rFont val="Tahoma"/>
            <family val="2"/>
          </rPr>
          <t>average tree count</t>
        </r>
        <r>
          <rPr>
            <sz val="10"/>
            <color indexed="81"/>
            <rFont val="Tahoma"/>
            <family val="2"/>
          </rPr>
          <t xml:space="preserve"> with that BAF.
  Alternatively, divide the basal area by the count you WANT, and that will calculate the BAF you should use for counting trees.</t>
        </r>
      </text>
    </comment>
    <comment ref="B16" authorId="0" shapeId="0" xr:uid="{570BF98C-3DE8-4E75-87B5-6A52D367C690}">
      <text>
        <r>
          <rPr>
            <sz val="10"/>
            <color indexed="81"/>
            <rFont val="Tahoma"/>
            <family val="2"/>
          </rPr>
          <t xml:space="preserve">  In this cell, enter the </t>
        </r>
        <r>
          <rPr>
            <sz val="10"/>
            <color indexed="10"/>
            <rFont val="Tahoma"/>
            <family val="2"/>
          </rPr>
          <t>number of *BAR measurements</t>
        </r>
        <r>
          <rPr>
            <sz val="10"/>
            <color indexed="81"/>
            <rFont val="Tahoma"/>
            <family val="2"/>
          </rPr>
          <t xml:space="preserve"> you intend to take.
  This is usually the </t>
        </r>
        <r>
          <rPr>
            <sz val="10"/>
            <color indexed="10"/>
            <rFont val="Tahoma"/>
            <family val="2"/>
          </rPr>
          <t>number of trees,</t>
        </r>
        <r>
          <rPr>
            <sz val="10"/>
            <color indexed="81"/>
            <rFont val="Tahoma"/>
            <family val="2"/>
          </rPr>
          <t xml:space="preserve"> and corresponds to the CV you entered for *BAR.
  In some cases, it is the number of entire clusters (all trees at a point) </t>
        </r>
        <r>
          <rPr>
            <u/>
            <sz val="10"/>
            <color indexed="81"/>
            <rFont val="Tahoma"/>
            <family val="2"/>
          </rPr>
          <t>IF</t>
        </r>
        <r>
          <rPr>
            <sz val="10"/>
            <color indexed="81"/>
            <rFont val="Tahoma"/>
            <family val="2"/>
          </rPr>
          <t xml:space="preserve"> that CV has been entered in the section above.</t>
        </r>
        <r>
          <rPr>
            <sz val="10"/>
            <color indexed="81"/>
            <rFont val="Tahoma"/>
            <family val="2"/>
          </rPr>
          <t xml:space="preserve">
</t>
        </r>
      </text>
    </comment>
    <comment ref="F16" authorId="0" shapeId="0" xr:uid="{FD6038C9-ED6D-4BAB-A545-3EC8E801AB95}">
      <text>
        <r>
          <rPr>
            <sz val="10"/>
            <color indexed="81"/>
            <rFont val="Tahoma"/>
            <family val="2"/>
          </rPr>
          <t xml:space="preserve">  This is the </t>
        </r>
        <r>
          <rPr>
            <sz val="10"/>
            <color indexed="10"/>
            <rFont val="Tahoma"/>
            <family val="2"/>
          </rPr>
          <t>SE% for the *BAR measurements,</t>
        </r>
        <r>
          <rPr>
            <sz val="10"/>
            <color indexed="81"/>
            <rFont val="Tahoma"/>
            <family val="2"/>
          </rPr>
          <t xml:space="preserve"> assuming the number that you are testing, as entered in cell C16.
</t>
        </r>
      </text>
    </comment>
    <comment ref="I16" authorId="0" shapeId="0" xr:uid="{398264AE-80AD-4D9C-B399-0DB9FC690946}">
      <text>
        <r>
          <rPr>
            <sz val="10"/>
            <color indexed="81"/>
            <rFont val="Tahoma"/>
            <family val="2"/>
          </rPr>
          <t xml:space="preserve">  This is </t>
        </r>
        <r>
          <rPr>
            <sz val="10"/>
            <color indexed="10"/>
            <rFont val="Tahoma"/>
            <family val="2"/>
          </rPr>
          <t xml:space="preserve">the total number of trees you will  </t>
        </r>
        <r>
          <rPr>
            <u/>
            <sz val="10"/>
            <color indexed="10"/>
            <rFont val="Tahoma"/>
            <family val="2"/>
          </rPr>
          <t>choose</t>
        </r>
        <r>
          <rPr>
            <sz val="10"/>
            <color indexed="10"/>
            <rFont val="Tahoma"/>
            <family val="2"/>
          </rPr>
          <t xml:space="preserve"> from (for *BAR) during the cruise</t>
        </r>
        <r>
          <rPr>
            <sz val="10"/>
            <color indexed="81"/>
            <rFont val="Tahoma"/>
            <family val="2"/>
          </rPr>
          <t xml:space="preserve"> that you are considering.
    You can use the "Big BAF" multiplier to choose a prism which will automatically select  the right number of trees to measure (if your estimate of average tree count is accurate).</t>
        </r>
      </text>
    </comment>
    <comment ref="D17" authorId="0" shapeId="0" xr:uid="{148A4505-CB1F-45C2-B321-5F1B54AC29FE}">
      <text>
        <r>
          <rPr>
            <sz val="10"/>
            <color indexed="81"/>
            <rFont val="Tahoma"/>
            <family val="2"/>
          </rPr>
          <t xml:space="preserve">  This indicates the </t>
        </r>
        <r>
          <rPr>
            <u/>
            <sz val="10"/>
            <color indexed="10"/>
            <rFont val="Tahoma"/>
            <family val="2"/>
          </rPr>
          <t>overall</t>
        </r>
        <r>
          <rPr>
            <sz val="10"/>
            <color indexed="10"/>
            <rFont val="Tahoma"/>
            <family val="2"/>
          </rPr>
          <t xml:space="preserve"> </t>
        </r>
        <r>
          <rPr>
            <u/>
            <sz val="10"/>
            <color indexed="10"/>
            <rFont val="Tahoma"/>
            <family val="2"/>
          </rPr>
          <t>relative</t>
        </r>
        <r>
          <rPr>
            <sz val="10"/>
            <color indexed="10"/>
            <rFont val="Tahoma"/>
            <family val="2"/>
          </rPr>
          <t xml:space="preserve"> efficiency of your tested alternative.</t>
        </r>
        <r>
          <rPr>
            <sz val="10"/>
            <color indexed="81"/>
            <rFont val="Tahoma"/>
            <family val="2"/>
          </rPr>
          <t xml:space="preserve">
  It is the </t>
        </r>
        <r>
          <rPr>
            <sz val="10"/>
            <color indexed="10"/>
            <rFont val="Tahoma"/>
            <family val="2"/>
          </rPr>
          <t>ratio of the total costs</t>
        </r>
        <r>
          <rPr>
            <sz val="10"/>
            <color indexed="81"/>
            <rFont val="Tahoma"/>
            <family val="2"/>
          </rPr>
          <t xml:space="preserve"> </t>
        </r>
        <r>
          <rPr>
            <b/>
            <sz val="10"/>
            <color indexed="10"/>
            <rFont val="Tahoma"/>
            <family val="2"/>
          </rPr>
          <t>IF</t>
        </r>
        <r>
          <rPr>
            <sz val="10"/>
            <color indexed="81"/>
            <rFont val="Tahoma"/>
            <family val="2"/>
          </rPr>
          <t xml:space="preserve"> you were to use the number of plots in italics to get the same SE% as the optimal solution (using </t>
        </r>
        <r>
          <rPr>
            <u/>
            <sz val="10"/>
            <color indexed="81"/>
            <rFont val="Tahoma"/>
            <family val="2"/>
          </rPr>
          <t>your</t>
        </r>
        <r>
          <rPr>
            <sz val="10"/>
            <color indexed="81"/>
            <rFont val="Tahoma"/>
            <family val="2"/>
          </rPr>
          <t xml:space="preserve"> less efficient </t>
        </r>
        <r>
          <rPr>
            <u/>
            <sz val="10"/>
            <color indexed="81"/>
            <rFont val="Tahoma"/>
            <family val="2"/>
          </rPr>
          <t>ratio</t>
        </r>
        <r>
          <rPr>
            <sz val="10"/>
            <color indexed="81"/>
            <rFont val="Tahoma"/>
            <family val="2"/>
          </rPr>
          <t xml:space="preserve"> of counts to measurements)</t>
        </r>
      </text>
    </comment>
    <comment ref="F17" authorId="0" shapeId="0" xr:uid="{BF5B9538-1DFF-48DE-B89F-2507B0CA258B}">
      <text>
        <r>
          <rPr>
            <sz val="10"/>
            <color indexed="81"/>
            <rFont val="Tahoma"/>
            <family val="2"/>
          </rPr>
          <t xml:space="preserve">  This is the </t>
        </r>
        <r>
          <rPr>
            <u/>
            <sz val="10"/>
            <color indexed="10"/>
            <rFont val="Tahoma"/>
            <family val="2"/>
          </rPr>
          <t>Total</t>
        </r>
        <r>
          <rPr>
            <sz val="10"/>
            <color indexed="10"/>
            <rFont val="Tahoma"/>
            <family val="2"/>
          </rPr>
          <t xml:space="preserve"> SE%, using the number of plots and measurements you are testing</t>
        </r>
        <r>
          <rPr>
            <sz val="10"/>
            <color indexed="81"/>
            <rFont val="Tahoma"/>
            <family val="2"/>
          </rPr>
          <t xml:space="preserve"> in this section.
  It may </t>
        </r>
        <r>
          <rPr>
            <i/>
            <sz val="10"/>
            <color indexed="81"/>
            <rFont val="Tahoma"/>
            <family val="2"/>
          </rPr>
          <t>intentionally</t>
        </r>
        <r>
          <rPr>
            <sz val="10"/>
            <color indexed="81"/>
            <rFont val="Tahoma"/>
            <family val="2"/>
          </rPr>
          <t xml:space="preserve"> not be exactly the same as the SE% you entered in the optimizing section above </t>
        </r>
        <r>
          <rPr>
            <sz val="10"/>
            <color indexed="10"/>
            <rFont val="Tahoma"/>
            <family val="2"/>
          </rPr>
          <t>{D9}</t>
        </r>
        <r>
          <rPr>
            <sz val="10"/>
            <color indexed="81"/>
            <rFont val="Tahoma"/>
            <family val="2"/>
          </rPr>
          <t xml:space="preserve">.  
  Having a few extra plots is usually a wise move, and this section will tell you what different alternatives will "cost", compared to ana "optimal" ratio and number -- </t>
        </r>
        <r>
          <rPr>
            <i/>
            <sz val="10"/>
            <color indexed="81"/>
            <rFont val="Tahoma"/>
            <family val="2"/>
          </rPr>
          <t>bear in mind,</t>
        </r>
        <r>
          <rPr>
            <sz val="10"/>
            <color indexed="81"/>
            <rFont val="Tahoma"/>
            <family val="2"/>
          </rPr>
          <t xml:space="preserve"> of course, that the CV's you entered in this program are only </t>
        </r>
        <r>
          <rPr>
            <u/>
            <sz val="10"/>
            <color indexed="81"/>
            <rFont val="Tahoma"/>
            <family val="2"/>
          </rPr>
          <t>estimates,</t>
        </r>
        <r>
          <rPr>
            <sz val="10"/>
            <color indexed="81"/>
            <rFont val="Tahoma"/>
            <family val="2"/>
          </rPr>
          <t xml:space="preserve"> and therefore any sample size calculations are </t>
        </r>
        <r>
          <rPr>
            <i/>
            <sz val="10"/>
            <color indexed="81"/>
            <rFont val="Tahoma"/>
            <family val="2"/>
          </rPr>
          <t>also</t>
        </r>
        <r>
          <rPr>
            <sz val="10"/>
            <color indexed="81"/>
            <rFont val="Tahoma"/>
            <family val="2"/>
          </rPr>
          <t xml:space="preserve"> only estimates.</t>
        </r>
      </text>
    </comment>
    <comment ref="I17" authorId="0" shapeId="0" xr:uid="{2AF3403D-B501-4B80-8402-CE3A14CFAFC3}">
      <text>
        <r>
          <rPr>
            <sz val="10"/>
            <color indexed="81"/>
            <rFont val="Tahoma"/>
            <family val="2"/>
          </rPr>
          <t xml:space="preserve">  This is the </t>
        </r>
        <r>
          <rPr>
            <sz val="10"/>
            <color indexed="10"/>
            <rFont val="Tahoma"/>
            <family val="2"/>
          </rPr>
          <t>number of fully measured plots you will be measuring during the cruise</t>
        </r>
        <r>
          <rPr>
            <sz val="10"/>
            <color indexed="81"/>
            <rFont val="Tahoma"/>
            <family val="2"/>
          </rPr>
          <t xml:space="preserve"> to get the required number of VBARs.
  You can check the "Big BAF multiplier" to find out how often that would occur.  For instance you might need 2.71 plots (obviously rounded to 3, and in 31 plots with 7 trees/plot to get about 19 trees.  That would be one per 11.42 plots (which would be the ratio in cell I14).  It would be better to select every 12th tree than to take them in 3 clusters like this.  </t>
        </r>
      </text>
    </comment>
    <comment ref="D18" authorId="0" shapeId="0" xr:uid="{5103589B-2469-4645-BBBE-D0A7632ECF2A}">
      <text>
        <r>
          <rPr>
            <sz val="10"/>
            <color indexed="81"/>
            <rFont val="Tahoma"/>
            <family val="2"/>
          </rPr>
          <t xml:space="preserve">  This indicates the </t>
        </r>
        <r>
          <rPr>
            <b/>
            <u/>
            <sz val="10"/>
            <color indexed="10"/>
            <rFont val="Tahoma"/>
            <family val="2"/>
          </rPr>
          <t>field</t>
        </r>
        <r>
          <rPr>
            <sz val="10"/>
            <color indexed="10"/>
            <rFont val="Tahoma"/>
            <family val="2"/>
          </rPr>
          <t xml:space="preserve"> efficiency</t>
        </r>
        <r>
          <rPr>
            <sz val="10"/>
            <color indexed="81"/>
            <rFont val="Tahoma"/>
            <family val="2"/>
          </rPr>
          <t xml:space="preserve"> of your tested alternative.  It </t>
        </r>
        <r>
          <rPr>
            <sz val="10"/>
            <color indexed="10"/>
            <rFont val="Tahoma"/>
            <family val="2"/>
          </rPr>
          <t>pays no attention to the fixed costs.</t>
        </r>
        <r>
          <rPr>
            <sz val="10"/>
            <color indexed="81"/>
            <rFont val="Tahoma"/>
            <family val="2"/>
          </rPr>
          <t xml:space="preserve">
  It is the </t>
        </r>
        <r>
          <rPr>
            <sz val="10"/>
            <color indexed="10"/>
            <rFont val="Tahoma"/>
            <family val="2"/>
          </rPr>
          <t xml:space="preserve">ratio of the total costs </t>
        </r>
        <r>
          <rPr>
            <b/>
            <sz val="10"/>
            <color indexed="10"/>
            <rFont val="Tahoma"/>
            <family val="2"/>
          </rPr>
          <t>IF</t>
        </r>
        <r>
          <rPr>
            <sz val="10"/>
            <color indexed="81"/>
            <rFont val="Tahoma"/>
            <family val="2"/>
          </rPr>
          <t xml:space="preserve"> you were to use the number of plots in italics to get the </t>
        </r>
        <r>
          <rPr>
            <sz val="10"/>
            <color indexed="10"/>
            <rFont val="Tahoma"/>
            <family val="2"/>
          </rPr>
          <t>same SE%</t>
        </r>
        <r>
          <rPr>
            <sz val="10"/>
            <color indexed="81"/>
            <rFont val="Tahoma"/>
            <family val="2"/>
          </rPr>
          <t xml:space="preserve"> as the optimal solution (using </t>
        </r>
        <r>
          <rPr>
            <u/>
            <sz val="10"/>
            <color indexed="81"/>
            <rFont val="Tahoma"/>
            <family val="2"/>
          </rPr>
          <t>your</t>
        </r>
        <r>
          <rPr>
            <sz val="10"/>
            <color indexed="81"/>
            <rFont val="Tahoma"/>
            <family val="2"/>
          </rPr>
          <t xml:space="preserve"> less efficient </t>
        </r>
        <r>
          <rPr>
            <u/>
            <sz val="10"/>
            <color indexed="81"/>
            <rFont val="Tahoma"/>
            <family val="2"/>
          </rPr>
          <t>ratio</t>
        </r>
        <r>
          <rPr>
            <sz val="10"/>
            <color indexed="81"/>
            <rFont val="Tahoma"/>
            <family val="2"/>
          </rPr>
          <t xml:space="preserve"> of counts to measurements)</t>
        </r>
      </text>
    </comment>
    <comment ref="F18" authorId="0" shapeId="0" xr:uid="{522F2DF9-40A3-43BB-919E-991AFD4CBED9}">
      <text>
        <r>
          <rPr>
            <sz val="10"/>
            <color indexed="81"/>
            <rFont val="Tahoma"/>
            <family val="2"/>
          </rPr>
          <t xml:space="preserve">  This is the </t>
        </r>
        <r>
          <rPr>
            <sz val="10"/>
            <color indexed="10"/>
            <rFont val="Tahoma"/>
            <family val="2"/>
          </rPr>
          <t>overall cost</t>
        </r>
        <r>
          <rPr>
            <sz val="10"/>
            <color indexed="81"/>
            <rFont val="Tahoma"/>
            <family val="2"/>
          </rPr>
          <t xml:space="preserve"> of the cruise plan you are testing.</t>
        </r>
      </text>
    </comment>
    <comment ref="I18" authorId="0" shapeId="0" xr:uid="{B33990BB-1B01-4207-88D8-A6015B985FEE}">
      <text>
        <r>
          <rPr>
            <sz val="10"/>
            <color indexed="81"/>
            <rFont val="Tahoma"/>
            <family val="2"/>
          </rPr>
          <t xml:space="preserve">  This is the average </t>
        </r>
        <r>
          <rPr>
            <sz val="10"/>
            <color indexed="10"/>
            <rFont val="Tahoma"/>
            <family val="2"/>
          </rPr>
          <t>cost per sample point visited.</t>
        </r>
        <r>
          <rPr>
            <sz val="10"/>
            <color indexed="81"/>
            <rFont val="Tahoma"/>
            <family val="2"/>
          </rPr>
          <t xml:space="preserve">  
  It cannot be strictly compared to the other cost per point in cell G11, since different schemes are used.  </t>
        </r>
      </text>
    </comment>
    <comment ref="F19" authorId="0" shapeId="0" xr:uid="{FE87CE03-8D13-456A-B514-23F336A6D497}">
      <text>
        <r>
          <rPr>
            <sz val="10"/>
            <color indexed="81"/>
            <rFont val="Tahoma"/>
            <family val="2"/>
          </rPr>
          <t xml:space="preserve">  </t>
        </r>
        <r>
          <rPr>
            <sz val="10"/>
            <color indexed="12"/>
            <rFont val="Tahoma"/>
            <family val="2"/>
          </rPr>
          <t>This is the</t>
        </r>
        <r>
          <rPr>
            <sz val="10"/>
            <color indexed="81"/>
            <rFont val="Tahoma"/>
            <family val="2"/>
          </rPr>
          <t xml:space="preserve"> </t>
        </r>
        <r>
          <rPr>
            <sz val="10"/>
            <color indexed="10"/>
            <rFont val="Tahoma"/>
            <family val="2"/>
          </rPr>
          <t>relative cost percentage of the cruise you are testing vs. the optimal solution.</t>
        </r>
        <r>
          <rPr>
            <sz val="10"/>
            <color indexed="81"/>
            <rFont val="Tahoma"/>
            <family val="2"/>
          </rPr>
          <t xml:space="preserve">  
  Bear in mind that it </t>
        </r>
        <r>
          <rPr>
            <sz val="10"/>
            <color indexed="10"/>
            <rFont val="Tahoma"/>
            <family val="2"/>
          </rPr>
          <t>may be for a different SE%,</t>
        </r>
        <r>
          <rPr>
            <sz val="10"/>
            <color indexed="81"/>
            <rFont val="Tahoma"/>
            <family val="2"/>
          </rPr>
          <t xml:space="preserve"> and therefore may look more or less efficient than getting exactly the same result.  
  </t>
        </r>
        <r>
          <rPr>
            <sz val="10"/>
            <color indexed="10"/>
            <rFont val="Tahoma"/>
            <family val="2"/>
          </rPr>
          <t xml:space="preserve">This comparison is for the </t>
        </r>
        <r>
          <rPr>
            <u/>
            <sz val="10"/>
            <color indexed="10"/>
            <rFont val="Tahoma"/>
            <family val="2"/>
          </rPr>
          <t>overall</t>
        </r>
        <r>
          <rPr>
            <sz val="10"/>
            <color indexed="10"/>
            <rFont val="Tahoma"/>
            <family val="2"/>
          </rPr>
          <t xml:space="preserve"> plan, and may include a decision to oversample, for instance.
   </t>
        </r>
        <r>
          <rPr>
            <b/>
            <sz val="10"/>
            <color indexed="10"/>
            <rFont val="Tahoma"/>
            <family val="2"/>
          </rPr>
          <t>Comparitive</t>
        </r>
        <r>
          <rPr>
            <sz val="10"/>
            <color indexed="12"/>
            <rFont val="Tahoma"/>
            <family val="2"/>
          </rPr>
          <t xml:space="preserve"> efficiency is available in Cells {D, 17 &amp; 18}</t>
        </r>
      </text>
    </comment>
    <comment ref="G19" authorId="0" shapeId="0" xr:uid="{5768263F-AC8F-4216-BCA4-63EC4F179E9F}">
      <text>
        <r>
          <rPr>
            <sz val="10"/>
            <color indexed="81"/>
            <rFont val="Tahoma"/>
            <family val="2"/>
          </rPr>
          <t xml:space="preserve">  This is the </t>
        </r>
        <r>
          <rPr>
            <sz val="10"/>
            <color indexed="10"/>
            <rFont val="Tahoma"/>
            <family val="2"/>
          </rPr>
          <t>efficiency of the cruise you are testing vs. the optimal solution.</t>
        </r>
        <r>
          <rPr>
            <sz val="10"/>
            <color indexed="81"/>
            <rFont val="Tahoma"/>
            <family val="2"/>
          </rPr>
          <t xml:space="preserve">  
  Bear in mind that it </t>
        </r>
        <r>
          <rPr>
            <sz val="10"/>
            <color indexed="10"/>
            <rFont val="Tahoma"/>
            <family val="2"/>
          </rPr>
          <t>may be for a different SE%,</t>
        </r>
        <r>
          <rPr>
            <sz val="10"/>
            <color indexed="81"/>
            <rFont val="Tahoma"/>
            <family val="2"/>
          </rPr>
          <t xml:space="preserve"> and therefore may look more or less efficient than when you get exactly the same result.  
  That is why the </t>
        </r>
        <r>
          <rPr>
            <sz val="10"/>
            <color indexed="10"/>
            <rFont val="Tahoma"/>
            <family val="2"/>
          </rPr>
          <t>other efficiencies</t>
        </r>
        <r>
          <rPr>
            <sz val="10"/>
            <color indexed="81"/>
            <rFont val="Tahoma"/>
            <family val="2"/>
          </rPr>
          <t xml:space="preserve"> (cells D17,18) are included, because they include </t>
        </r>
        <r>
          <rPr>
            <u/>
            <sz val="10"/>
            <color indexed="81"/>
            <rFont val="Tahoma"/>
            <family val="2"/>
          </rPr>
          <t>only</t>
        </r>
        <r>
          <rPr>
            <sz val="10"/>
            <color indexed="81"/>
            <rFont val="Tahoma"/>
            <family val="2"/>
          </rPr>
          <t xml:space="preserve"> the difference </t>
        </r>
        <r>
          <rPr>
            <u/>
            <sz val="10"/>
            <color indexed="81"/>
            <rFont val="Tahoma"/>
            <family val="2"/>
          </rPr>
          <t>due to the ratio</t>
        </r>
        <r>
          <rPr>
            <sz val="10"/>
            <color indexed="81"/>
            <rFont val="Tahoma"/>
            <family val="2"/>
          </rPr>
          <t xml:space="preserve"> of C:M you are testing.
  </t>
        </r>
        <r>
          <rPr>
            <b/>
            <sz val="10"/>
            <color indexed="81"/>
            <rFont val="Tahoma"/>
            <family val="2"/>
          </rPr>
          <t>This</t>
        </r>
        <r>
          <rPr>
            <sz val="10"/>
            <color indexed="81"/>
            <rFont val="Tahoma"/>
            <family val="2"/>
          </rPr>
          <t xml:space="preserve"> comparison is for the </t>
        </r>
        <r>
          <rPr>
            <sz val="10"/>
            <color indexed="10"/>
            <rFont val="Tahoma"/>
            <family val="2"/>
          </rPr>
          <t>overall</t>
        </r>
        <r>
          <rPr>
            <sz val="10"/>
            <color indexed="81"/>
            <rFont val="Tahoma"/>
            <family val="2"/>
          </rPr>
          <t xml:space="preserve"> plan, and may include a decision to oversample, for instance.</t>
        </r>
      </text>
    </comment>
    <comment ref="I19" authorId="0" shapeId="0" xr:uid="{194B40D4-688E-4E7F-BBF1-15F482725BE3}">
      <text>
        <r>
          <rPr>
            <sz val="10"/>
            <color indexed="81"/>
            <rFont val="Tahoma"/>
            <family val="2"/>
          </rPr>
          <t xml:space="preserve">  There is not really a CV for Variable Plot sampling when you use count and measure plots, because the variability depends on the ratio of C:M plots.
  </t>
        </r>
        <r>
          <rPr>
            <sz val="10"/>
            <color indexed="10"/>
            <rFont val="Tahoma"/>
            <family val="2"/>
          </rPr>
          <t>If you want a reasonable approximation to the CV,</t>
        </r>
        <r>
          <rPr>
            <sz val="10"/>
            <color indexed="81"/>
            <rFont val="Tahoma"/>
            <family val="2"/>
          </rPr>
          <t xml:space="preserve"> using the  ratio you are testing, then this is a good one.
  If you want to calculate some other sample size, this can be plugged into the standard equations.</t>
        </r>
      </text>
    </comment>
    <comment ref="B20" authorId="0" shapeId="0" xr:uid="{A646FA00-9A22-4020-A3EE-81142292BB5C}">
      <text>
        <r>
          <rPr>
            <sz val="10"/>
            <color indexed="10"/>
            <rFont val="Tahoma"/>
            <family val="2"/>
          </rPr>
          <t>Yellow</t>
        </r>
        <r>
          <rPr>
            <sz val="10"/>
            <color indexed="81"/>
            <rFont val="Tahoma"/>
            <family val="2"/>
          </rPr>
          <t xml:space="preserve"> Items are ones you fill in.
</t>
        </r>
        <r>
          <rPr>
            <sz val="10"/>
            <color indexed="10"/>
            <rFont val="Tahoma"/>
            <family val="2"/>
          </rPr>
          <t>Gold</t>
        </r>
        <r>
          <rPr>
            <sz val="10"/>
            <color indexed="81"/>
            <rFont val="Tahoma"/>
            <family val="2"/>
          </rPr>
          <t xml:space="preserve"> are optional
</t>
        </r>
        <r>
          <rPr>
            <sz val="10"/>
            <color indexed="10"/>
            <rFont val="Tahoma"/>
            <family val="2"/>
          </rPr>
          <t>Grey</t>
        </r>
        <r>
          <rPr>
            <sz val="10"/>
            <color indexed="81"/>
            <rFont val="Tahoma"/>
            <family val="2"/>
          </rPr>
          <t xml:space="preserve"> are computed items
   </t>
        </r>
        <r>
          <rPr>
            <sz val="10"/>
            <color indexed="10"/>
            <rFont val="Tahoma"/>
            <family val="2"/>
          </rPr>
          <t>Dark Blue section</t>
        </r>
        <r>
          <rPr>
            <sz val="10"/>
            <color indexed="81"/>
            <rFont val="Tahoma"/>
            <family val="2"/>
          </rPr>
          <t xml:space="preserve">s are for information.
   Other colors are for organization.
A </t>
        </r>
        <r>
          <rPr>
            <sz val="10"/>
            <color indexed="10"/>
            <rFont val="Tahoma"/>
            <family val="2"/>
          </rPr>
          <t>red triangle in the corner of a cell</t>
        </r>
        <r>
          <rPr>
            <sz val="10"/>
            <color indexed="81"/>
            <rFont val="Tahoma"/>
            <family val="2"/>
          </rPr>
          <t xml:space="preserve"> means that a comment is available about it.  Put the cursor there, and it will pop up.</t>
        </r>
        <r>
          <rPr>
            <b/>
            <sz val="10"/>
            <color indexed="81"/>
            <rFont val="Tahoma"/>
            <family val="2"/>
          </rPr>
          <t xml:space="preserve">
</t>
        </r>
      </text>
    </comment>
    <comment ref="C20" authorId="0" shapeId="0" xr:uid="{DED8D35D-5522-4A88-AB1C-3AB932E2590F}">
      <text>
        <r>
          <rPr>
            <sz val="10"/>
            <color indexed="18"/>
            <rFont val="Tahoma"/>
            <family val="2"/>
          </rPr>
          <t xml:space="preserve">  The comments are shown when you are on a cell with a red triangle in the upper right (or if that cell is frequently filled in, the red triangle and comment is on the cell next to it).
  </t>
        </r>
        <r>
          <rPr>
            <sz val="10"/>
            <color indexed="10"/>
            <rFont val="Tahoma"/>
            <family val="2"/>
          </rPr>
          <t>If the comments flow off the screen,</t>
        </r>
        <r>
          <rPr>
            <sz val="10"/>
            <color indexed="18"/>
            <rFont val="Tahoma"/>
            <family val="2"/>
          </rPr>
          <t xml:space="preserve"> hold down the left mouse button and drag until the whole comment is visible.
  </t>
        </r>
        <r>
          <rPr>
            <sz val="10"/>
            <color indexed="10"/>
            <rFont val="Tahoma"/>
            <family val="2"/>
          </rPr>
          <t>You can turn off all these comments</t>
        </r>
        <r>
          <rPr>
            <sz val="10"/>
            <color indexed="18"/>
            <rFont val="Tahoma"/>
            <family val="2"/>
          </rPr>
          <t xml:space="preserve"> once you are familiar with the spreadsheet, using  
      {Tools/options/view/comments/none}
If you turn off the comments, you can always check them on the "demo copy" worksheet, which does not compute numbers.</t>
        </r>
        <r>
          <rPr>
            <b/>
            <sz val="10"/>
            <color indexed="81"/>
            <rFont val="Tahoma"/>
            <family val="2"/>
          </rPr>
          <t xml:space="preserve">
</t>
        </r>
      </text>
    </comment>
    <comment ref="D20" authorId="0" shapeId="0" xr:uid="{14FD6088-F2EC-4267-ABF7-684D8311D180}">
      <text>
        <r>
          <rPr>
            <sz val="10"/>
            <color indexed="18"/>
            <rFont val="Tahoma"/>
            <family val="2"/>
          </rPr>
          <t xml:space="preserve">  </t>
        </r>
        <r>
          <rPr>
            <sz val="10"/>
            <color indexed="10"/>
            <rFont val="Tahoma"/>
            <family val="2"/>
          </rPr>
          <t>If you never use some items,</t>
        </r>
        <r>
          <rPr>
            <sz val="10"/>
            <color indexed="18"/>
            <rFont val="Tahoma"/>
            <family val="2"/>
          </rPr>
          <t xml:space="preserve"> and don’t want them to clutter the spreadsheet, just </t>
        </r>
        <r>
          <rPr>
            <u/>
            <sz val="10"/>
            <color indexed="18"/>
            <rFont val="Tahoma"/>
            <family val="2"/>
          </rPr>
          <t>unprotect</t>
        </r>
        <r>
          <rPr>
            <sz val="10"/>
            <color indexed="18"/>
            <rFont val="Tahoma"/>
            <family val="2"/>
          </rPr>
          <t xml:space="preserve"> the worksheet and blank out the choices and results.
</t>
        </r>
        <r>
          <rPr>
            <b/>
            <sz val="10"/>
            <color indexed="10"/>
            <rFont val="Tahoma"/>
            <family val="2"/>
          </rPr>
          <t xml:space="preserve">  Better yet</t>
        </r>
        <r>
          <rPr>
            <sz val="10"/>
            <color indexed="10"/>
            <rFont val="Tahoma"/>
            <family val="2"/>
          </rPr>
          <t xml:space="preserve">, </t>
        </r>
        <r>
          <rPr>
            <sz val="10"/>
            <color indexed="18"/>
            <rFont val="Tahoma"/>
            <family val="2"/>
          </rPr>
          <t xml:space="preserve">make the text the same color as the background, then you can reverse the process later, </t>
        </r>
        <r>
          <rPr>
            <u/>
            <sz val="10"/>
            <color indexed="18"/>
            <rFont val="Tahoma"/>
            <family val="2"/>
          </rPr>
          <t>and</t>
        </r>
        <r>
          <rPr>
            <sz val="10"/>
            <color indexed="18"/>
            <rFont val="Tahoma"/>
            <family val="2"/>
          </rPr>
          <t xml:space="preserve"> you will not mess up any computations.
  </t>
        </r>
        <r>
          <rPr>
            <sz val="10"/>
            <color indexed="10"/>
            <rFont val="Tahoma"/>
            <family val="2"/>
          </rPr>
          <t>If you don't want people to change or use some of the options,</t>
        </r>
        <r>
          <rPr>
            <sz val="10"/>
            <color indexed="18"/>
            <rFont val="Tahoma"/>
            <family val="2"/>
          </rPr>
          <t xml:space="preserve"> you can lock that item by :
  { format/ cells/ protection/ locked }</t>
        </r>
      </text>
    </comment>
    <comment ref="E20" authorId="3" shapeId="0" xr:uid="{FF9D7E8A-6380-46C2-B130-26F67F434B83}">
      <text>
        <r>
          <rPr>
            <sz val="10"/>
            <color indexed="81"/>
            <rFont val="Tahoma"/>
            <family val="2"/>
          </rPr>
          <t xml:space="preserve">   
 </t>
        </r>
        <r>
          <rPr>
            <b/>
            <sz val="10"/>
            <color indexed="10"/>
            <rFont val="Tahoma"/>
            <family val="2"/>
          </rPr>
          <t>Version : 2023 mainly wording &amp; instructions)</t>
        </r>
        <r>
          <rPr>
            <sz val="10"/>
            <color indexed="81"/>
            <rFont val="Tahoma"/>
            <family val="2"/>
          </rPr>
          <t xml:space="preserve">
   This program is provided by</t>
        </r>
        <r>
          <rPr>
            <sz val="10"/>
            <color indexed="10"/>
            <rFont val="Tahoma"/>
            <family val="2"/>
          </rPr>
          <t xml:space="preserve"> Dr. Kim Iles</t>
        </r>
        <r>
          <rPr>
            <sz val="10"/>
            <color indexed="8"/>
            <rFont val="Tahoma"/>
            <family val="2"/>
          </rPr>
          <t>,</t>
        </r>
        <r>
          <rPr>
            <sz val="10"/>
            <color indexed="81"/>
            <rFont val="Tahoma"/>
            <family val="2"/>
          </rPr>
          <t xml:space="preserve"> Biometrician and consultant in Forest Inventory &amp; Statistics. 
   To receive newer versions, send me an e-mail.
       </t>
        </r>
        <r>
          <rPr>
            <sz val="10"/>
            <color indexed="10"/>
            <rFont val="Tahoma"/>
            <family val="2"/>
          </rPr>
          <t xml:space="preserve">If you find this spreadsheet of use, you owe me a 
thank-you note, other than that ... it is free.  </t>
        </r>
        <r>
          <rPr>
            <sz val="10"/>
            <color indexed="81"/>
            <rFont val="Tahoma"/>
            <family val="2"/>
          </rPr>
          <t xml:space="preserve">
I am always interested in your suggestions for improvement.
</t>
        </r>
        <r>
          <rPr>
            <u/>
            <sz val="10"/>
            <color indexed="81"/>
            <rFont val="Tahoma"/>
            <family val="2"/>
          </rPr>
          <t>Earlier</t>
        </r>
        <r>
          <rPr>
            <sz val="10"/>
            <color indexed="81"/>
            <rFont val="Tahoma"/>
            <family val="2"/>
          </rPr>
          <t xml:space="preserve"> spreadsheets ~2003, contained </t>
        </r>
        <r>
          <rPr>
            <u/>
            <sz val="10"/>
            <color indexed="81"/>
            <rFont val="Tahoma"/>
            <family val="2"/>
          </rPr>
          <t>no</t>
        </r>
        <r>
          <rPr>
            <sz val="10"/>
            <color indexed="81"/>
            <rFont val="Tahoma"/>
            <family val="2"/>
          </rPr>
          <t xml:space="preserve"> known errors.
(</t>
        </r>
        <r>
          <rPr>
            <b/>
            <sz val="10"/>
            <color indexed="81"/>
            <rFont val="Tahoma"/>
            <family val="2"/>
          </rPr>
          <t>I obviously cannot be held responsible for accuracy,</t>
        </r>
        <r>
          <rPr>
            <sz val="10"/>
            <color indexed="81"/>
            <rFont val="Tahoma"/>
            <family val="2"/>
          </rPr>
          <t xml:space="preserve"> since the program can be changed locally.  If in doubt, check with me - but it is as close to accurate as I can make it).
   Kim Iles &amp; Associates Ltd.
   412 Valley Place,
   Nanaimo, BC, CANADA
       V9R 6A6
Currently: (July 2023)
        Phone &amp; FAX : (250) 616-1413
        e-mail : kiles@island.net
 (My earlier website was eliminated by my service provider)
</t>
        </r>
      </text>
    </comment>
    <comment ref="F20" authorId="0" shapeId="0" xr:uid="{C3EFA01A-EB8E-41B5-8060-75C0260586C0}">
      <text>
        <r>
          <rPr>
            <sz val="10"/>
            <color indexed="81"/>
            <rFont val="Tahoma"/>
            <family val="2"/>
          </rPr>
          <t xml:space="preserve">  I have removed any earlier edition macros for printing.
  The rest of the sections can be printed using EXCEL commands.  I have chosen the colors so they work with my laser black and white printer.  The print area is initially set to print a black and white version starting about line 100.
</t>
        </r>
      </text>
    </comment>
    <comment ref="G20" authorId="0" shapeId="0" xr:uid="{61A12E13-C973-451A-89D6-89E3F0BD5068}">
      <text>
        <r>
          <rPr>
            <sz val="10"/>
            <color indexed="18"/>
            <rFont val="Tahoma"/>
            <family val="2"/>
          </rPr>
          <t xml:space="preserve"> 
 There are no Macro's in this initial spreadsheet as it was distributed - </t>
        </r>
        <r>
          <rPr>
            <u/>
            <sz val="10"/>
            <color indexed="18"/>
            <rFont val="Tahoma"/>
            <family val="2"/>
          </rPr>
          <t>you</t>
        </r>
        <r>
          <rPr>
            <sz val="10"/>
            <color indexed="18"/>
            <rFont val="Tahoma"/>
            <family val="2"/>
          </rPr>
          <t xml:space="preserve"> might want to add some.  The presence of macros disturbes some people (and Microsoft 365), because they are worried about viruses.
</t>
        </r>
      </text>
    </comment>
    <comment ref="H20" authorId="0" shapeId="0" xr:uid="{82B5FB8C-74F9-4C29-8205-823CF311428F}">
      <text>
        <r>
          <rPr>
            <sz val="10"/>
            <color indexed="18"/>
            <rFont val="Tahoma"/>
            <family val="2"/>
          </rPr>
          <t xml:space="preserve"> 
  I have attempted to provide both metric and English measurements wherever possible.
  If you </t>
        </r>
        <r>
          <rPr>
            <u/>
            <sz val="10"/>
            <color indexed="18"/>
            <rFont val="Tahoma"/>
            <family val="2"/>
          </rPr>
          <t>never</t>
        </r>
        <r>
          <rPr>
            <sz val="10"/>
            <color indexed="18"/>
            <rFont val="Tahoma"/>
            <family val="2"/>
          </rPr>
          <t xml:space="preserve"> use metric (or english) just unprotect the worksheet and blank out the choices and results </t>
        </r>
        <r>
          <rPr>
            <sz val="10"/>
            <color indexed="10"/>
            <rFont val="Tahoma"/>
            <family val="2"/>
          </rPr>
          <t xml:space="preserve">(or, </t>
        </r>
        <r>
          <rPr>
            <u/>
            <sz val="10"/>
            <color indexed="10"/>
            <rFont val="Tahoma"/>
            <family val="2"/>
          </rPr>
          <t>better yet,</t>
        </r>
        <r>
          <rPr>
            <sz val="10"/>
            <color indexed="10"/>
            <rFont val="Tahoma"/>
            <family val="2"/>
          </rPr>
          <t xml:space="preserve"> make the text the same color as the background, which will keep it in case you need it later).
</t>
        </r>
      </text>
    </comment>
    <comment ref="I20" authorId="0" shapeId="0" xr:uid="{00580966-8BEA-4707-B006-601E04DED2B0}">
      <text>
        <r>
          <rPr>
            <sz val="10"/>
            <color indexed="18"/>
            <rFont val="Tahoma"/>
            <family val="2"/>
          </rPr>
          <t xml:space="preserve">   </t>
        </r>
        <r>
          <rPr>
            <sz val="10"/>
            <color indexed="10"/>
            <rFont val="Tahoma"/>
            <family val="2"/>
          </rPr>
          <t>If you need to refresh the spreadsheet,</t>
        </r>
        <r>
          <rPr>
            <sz val="10"/>
            <color indexed="18"/>
            <rFont val="Tahoma"/>
            <family val="2"/>
          </rPr>
          <t xml:space="preserve"> because it has been corrupted in some way, you can get a copy sent to you by simply emailing me.  
   </t>
        </r>
        <r>
          <rPr>
            <sz val="10"/>
            <color indexed="10"/>
            <rFont val="Tahoma"/>
            <family val="2"/>
          </rPr>
          <t>Do this every once in a while anyway,</t>
        </r>
        <r>
          <rPr>
            <sz val="10"/>
            <color indexed="18"/>
            <rFont val="Tahoma"/>
            <family val="2"/>
          </rPr>
          <t xml:space="preserve"> because I keep improving it.
   Give copies to whoever would like one - you have my permission.</t>
        </r>
      </text>
    </comment>
    <comment ref="C21" authorId="0" shapeId="0" xr:uid="{C2E1B7C1-FF34-4F63-95F9-2FB5789473F3}">
      <text>
        <r>
          <rPr>
            <sz val="10"/>
            <color indexed="18"/>
            <rFont val="Tahoma"/>
            <family val="2"/>
          </rPr>
          <t xml:space="preserve">  This spreadsheet is initially "protected", meaning that you can only change certain items.
  If </t>
        </r>
        <r>
          <rPr>
            <u/>
            <sz val="10"/>
            <color indexed="18"/>
            <rFont val="Tahoma"/>
            <family val="2"/>
          </rPr>
          <t>you want to make changes,</t>
        </r>
        <r>
          <rPr>
            <sz val="10"/>
            <color indexed="18"/>
            <rFont val="Tahoma"/>
            <family val="2"/>
          </rPr>
          <t xml:space="preserve"> such as eliminating all metric answers or computing English answers from the metric equivalents, </t>
        </r>
        <r>
          <rPr>
            <sz val="10"/>
            <color indexed="10"/>
            <rFont val="Tahoma"/>
            <family val="2"/>
          </rPr>
          <t>you can turn off the protection</t>
        </r>
        <r>
          <rPr>
            <sz val="10"/>
            <color indexed="18"/>
            <rFont val="Tahoma"/>
            <family val="2"/>
          </rPr>
          <t xml:space="preserve"> using :
     {Review/protect or unprotect / ... enter code}.</t>
        </r>
        <r>
          <rPr>
            <b/>
            <sz val="10"/>
            <color indexed="81"/>
            <rFont val="Tahoma"/>
            <family val="2"/>
          </rPr>
          <t xml:space="preserve">
</t>
        </r>
        <r>
          <rPr>
            <sz val="10"/>
            <color indexed="81"/>
            <rFont val="Tahoma"/>
            <family val="2"/>
          </rPr>
          <t xml:space="preserve">Then you can change titles, comments, lock some cells, use the trace funtion, etc.  You should be able to change precision in the cells while otherwise locked.
  </t>
        </r>
        <r>
          <rPr>
            <sz val="10"/>
            <color indexed="10"/>
            <rFont val="Tahoma"/>
            <family val="2"/>
          </rPr>
          <t>Afterwards, turn the protection on again</t>
        </r>
        <r>
          <rPr>
            <sz val="10"/>
            <color indexed="81"/>
            <rFont val="Tahoma"/>
            <family val="2"/>
          </rPr>
          <t xml:space="preserve"> so you do not destroy cells with equations in them by mistake.</t>
        </r>
      </text>
    </comment>
    <comment ref="D21" authorId="0" shapeId="0" xr:uid="{1FB7EDBA-37B9-4C10-9A55-CDC243480312}">
      <text>
        <r>
          <rPr>
            <sz val="10"/>
            <color indexed="18"/>
            <rFont val="Tahoma"/>
            <family val="2"/>
          </rPr>
          <t xml:space="preserve">1)  Enter an </t>
        </r>
        <r>
          <rPr>
            <sz val="10"/>
            <color indexed="10"/>
            <rFont val="Tahoma"/>
            <family val="2"/>
          </rPr>
          <t>initial number</t>
        </r>
        <r>
          <rPr>
            <sz val="10"/>
            <color indexed="18"/>
            <rFont val="Tahoma"/>
            <family val="2"/>
          </rPr>
          <t xml:space="preserve"> and see the results.
2)  Try an</t>
        </r>
        <r>
          <rPr>
            <sz val="10"/>
            <color indexed="10"/>
            <rFont val="Tahoma"/>
            <family val="2"/>
          </rPr>
          <t xml:space="preserve"> alternative</t>
        </r>
        <r>
          <rPr>
            <sz val="10"/>
            <color indexed="18"/>
            <rFont val="Tahoma"/>
            <family val="2"/>
          </rPr>
          <t xml:space="preserve"> </t>
        </r>
        <r>
          <rPr>
            <sz val="10"/>
            <color indexed="10"/>
            <rFont val="Tahoma"/>
            <family val="2"/>
          </rPr>
          <t>number</t>
        </r>
        <r>
          <rPr>
            <sz val="10"/>
            <color indexed="18"/>
            <rFont val="Tahoma"/>
            <family val="2"/>
          </rPr>
          <t xml:space="preserve"> to see the difference.
3)  </t>
        </r>
        <r>
          <rPr>
            <sz val="10"/>
            <color indexed="10"/>
            <rFont val="Tahoma"/>
            <family val="2"/>
          </rPr>
          <t>Use the "undo" and "redo" commands</t>
        </r>
        <r>
          <rPr>
            <sz val="10"/>
            <color indexed="18"/>
            <rFont val="Tahoma"/>
            <family val="2"/>
          </rPr>
          <t xml:space="preserve"> to change back and forth between the two answers to see the effect. </t>
        </r>
      </text>
    </comment>
    <comment ref="E21" authorId="2" shapeId="0" xr:uid="{E37A34C8-BBEA-48EE-9890-ADEC91E13406}">
      <text>
        <r>
          <rPr>
            <sz val="10"/>
            <color indexed="81"/>
            <rFont val="Tahoma"/>
            <family val="2"/>
          </rPr>
          <t xml:space="preserve"> 
   Learn to use the "Goal Seek" function under (currently) </t>
        </r>
        <r>
          <rPr>
            <b/>
            <sz val="10"/>
            <color indexed="81"/>
            <rFont val="Tahoma"/>
            <family val="2"/>
          </rPr>
          <t>data/what-if analysis/goal seek</t>
        </r>
        <r>
          <rPr>
            <sz val="10"/>
            <color indexed="81"/>
            <rFont val="Tahoma"/>
            <family val="2"/>
          </rPr>
          <t>.  It will automatically change one item until some other item is what you want it to be.  
   As an example, you could change the SE% until the project becomes a specific cost.</t>
        </r>
      </text>
    </comment>
    <comment ref="F21" authorId="2" shapeId="0" xr:uid="{3500902F-6D48-4223-832C-C1C0EAB42AB8}">
      <text>
        <r>
          <rPr>
            <sz val="10"/>
            <color indexed="81"/>
            <rFont val="Tahoma"/>
            <family val="2"/>
          </rPr>
          <t xml:space="preserve">   If you double click the icon "documentation" {about cell K8} you will get an MSWord document that explains the program.
Also, look at "Comments" in blue Cell C20.</t>
        </r>
      </text>
    </comment>
    <comment ref="A22" authorId="1" shapeId="0" xr:uid="{993622A1-E113-4117-986F-6A9E18D7C4C3}">
      <text>
        <r>
          <rPr>
            <sz val="10"/>
            <color indexed="81"/>
            <rFont val="Tahoma"/>
            <family val="2"/>
          </rPr>
          <t xml:space="preserve">This section tells you the number of points you need to take and the number of trees that would require if you measure </t>
        </r>
        <r>
          <rPr>
            <b/>
            <sz val="10"/>
            <color indexed="81"/>
            <rFont val="Tahoma"/>
            <family val="2"/>
          </rPr>
          <t>all the trees</t>
        </r>
        <r>
          <rPr>
            <sz val="10"/>
            <color indexed="81"/>
            <rFont val="Tahoma"/>
            <family val="2"/>
          </rPr>
          <t xml:space="preserve"> on each sample point and get the desired sampling error in cell </t>
        </r>
        <r>
          <rPr>
            <b/>
            <sz val="10"/>
            <color indexed="81"/>
            <rFont val="Tahoma"/>
            <family val="2"/>
          </rPr>
          <t>D9</t>
        </r>
        <r>
          <rPr>
            <sz val="10"/>
            <color indexed="81"/>
            <rFont val="Tahoma"/>
            <family val="2"/>
          </rPr>
          <t xml:space="preserve">.  You need to specify the average tree count in cell </t>
        </r>
        <r>
          <rPr>
            <b/>
            <sz val="10"/>
            <color indexed="81"/>
            <rFont val="Tahoma"/>
            <family val="2"/>
          </rPr>
          <t>I</t>
        </r>
        <r>
          <rPr>
            <b/>
            <sz val="6"/>
            <color indexed="81"/>
            <rFont val="Tahoma"/>
            <family val="2"/>
          </rPr>
          <t xml:space="preserve"> </t>
        </r>
        <r>
          <rPr>
            <b/>
            <sz val="10"/>
            <color indexed="81"/>
            <rFont val="Tahoma"/>
            <family val="2"/>
          </rPr>
          <t>23</t>
        </r>
        <r>
          <rPr>
            <sz val="9"/>
            <color indexed="81"/>
            <rFont val="Tahoma"/>
            <family val="2"/>
          </rPr>
          <t xml:space="preserve">
</t>
        </r>
      </text>
    </comment>
    <comment ref="I23" authorId="0" shapeId="0" xr:uid="{D0BB7AF8-252B-4301-8B9C-758BDBB21E15}">
      <text>
        <r>
          <rPr>
            <sz val="10"/>
            <color indexed="81"/>
            <rFont val="Tahoma"/>
            <family val="2"/>
          </rPr>
          <t xml:space="preserve">  This is the </t>
        </r>
        <r>
          <rPr>
            <sz val="10"/>
            <color indexed="10"/>
            <rFont val="Tahoma"/>
            <family val="2"/>
          </rPr>
          <t>average tree count</t>
        </r>
        <r>
          <rPr>
            <sz val="10"/>
            <color indexed="81"/>
            <rFont val="Tahoma"/>
            <family val="2"/>
          </rPr>
          <t xml:space="preserve"> 
expected during the cruise.
   This is normally the same as the average tree count in H15, and in the </t>
        </r>
        <r>
          <rPr>
            <i/>
            <sz val="10"/>
            <color indexed="81"/>
            <rFont val="Tahoma"/>
            <family val="2"/>
          </rPr>
          <t>initial</t>
        </r>
        <r>
          <rPr>
            <sz val="10"/>
            <color indexed="81"/>
            <rFont val="Tahoma"/>
            <family val="2"/>
          </rPr>
          <t xml:space="preserve"> spreadsheet it just copies cell H15 automatically.</t>
        </r>
      </text>
    </comment>
    <comment ref="C24" authorId="0" shapeId="0" xr:uid="{89FC6161-294D-4042-B785-0F08D6AA1A6F}">
      <text>
        <r>
          <rPr>
            <sz val="10"/>
            <color indexed="81"/>
            <rFont val="Tahoma"/>
            <family val="2"/>
          </rPr>
          <t xml:space="preserve">This is the </t>
        </r>
        <r>
          <rPr>
            <sz val="10"/>
            <color indexed="10"/>
            <rFont val="Tahoma"/>
            <family val="2"/>
          </rPr>
          <t>number of tree counts</t>
        </r>
        <r>
          <rPr>
            <sz val="10"/>
            <color indexed="81"/>
            <rFont val="Tahoma"/>
            <family val="2"/>
          </rPr>
          <t xml:space="preserve"> you need to take to produce the SE% you entered (in D9).</t>
        </r>
      </text>
    </comment>
    <comment ref="D24" authorId="0" shapeId="0" xr:uid="{1E2CD5CE-453D-4E9A-A4F4-EE73B93671DA}">
      <text>
        <r>
          <rPr>
            <sz val="10"/>
            <color indexed="81"/>
            <rFont val="Tahoma"/>
            <family val="2"/>
          </rPr>
          <t xml:space="preserve">   This is the calculated </t>
        </r>
        <r>
          <rPr>
            <sz val="10"/>
            <color indexed="10"/>
            <rFont val="Tahoma"/>
            <family val="2"/>
          </rPr>
          <t>SE% for the basal area</t>
        </r>
        <r>
          <rPr>
            <sz val="10"/>
            <color indexed="81"/>
            <rFont val="Tahoma"/>
            <family val="2"/>
          </rPr>
          <t xml:space="preserve"> (and Tree Count) using </t>
        </r>
        <r>
          <rPr>
            <sz val="10"/>
            <color indexed="8"/>
            <rFont val="Tahoma"/>
            <family val="2"/>
          </rPr>
          <t>the</t>
        </r>
        <r>
          <rPr>
            <sz val="10"/>
            <color indexed="81"/>
            <rFont val="Tahoma"/>
            <family val="2"/>
          </rPr>
          <t xml:space="preserve"> number of sample points required to get the SE% you desired when all trees are measured on all sample points.
  Typically, it is too large in relation to the SE% for the *BAR.</t>
        </r>
      </text>
    </comment>
    <comment ref="C25" authorId="0" shapeId="0" xr:uid="{930FF8CA-C9A7-46F6-8BB6-A9BC9C018A4C}">
      <text>
        <r>
          <rPr>
            <sz val="10"/>
            <color indexed="81"/>
            <rFont val="Tahoma"/>
            <family val="2"/>
          </rPr>
          <t xml:space="preserve">  This is the </t>
        </r>
        <r>
          <rPr>
            <sz val="10"/>
            <color indexed="10"/>
            <rFont val="Tahoma"/>
            <family val="2"/>
          </rPr>
          <t>number of measured trees.</t>
        </r>
        <r>
          <rPr>
            <sz val="10"/>
            <color indexed="81"/>
            <rFont val="Tahoma"/>
            <family val="2"/>
          </rPr>
          <t xml:space="preserve">  It is calculated to give the correct overall SE% (under the assumption that the CV in the first section is for *BAR of </t>
        </r>
        <r>
          <rPr>
            <u/>
            <sz val="10"/>
            <color indexed="81"/>
            <rFont val="Tahoma"/>
            <family val="2"/>
          </rPr>
          <t>trees</t>
        </r>
        <r>
          <rPr>
            <sz val="10"/>
            <color indexed="81"/>
            <rFont val="Tahoma"/>
            <family val="2"/>
          </rPr>
          <t>).  If "too many" measurements are taken (this is the usual case) it reduces the  number of plots.</t>
        </r>
        <r>
          <rPr>
            <sz val="10"/>
            <color indexed="81"/>
            <rFont val="Tahoma"/>
            <family val="2"/>
          </rPr>
          <t xml:space="preserve">
</t>
        </r>
      </text>
    </comment>
    <comment ref="D25" authorId="0" shapeId="0" xr:uid="{EBAD78C2-CAAA-4B5D-86A0-6BB8898A40D6}">
      <text>
        <r>
          <rPr>
            <sz val="10"/>
            <color indexed="81"/>
            <rFont val="Tahoma"/>
            <family val="2"/>
          </rPr>
          <t xml:space="preserve">This is the </t>
        </r>
        <r>
          <rPr>
            <sz val="10"/>
            <color indexed="10"/>
            <rFont val="Tahoma"/>
            <family val="2"/>
          </rPr>
          <t>SE% for the number of measurements (*BARS) used.</t>
        </r>
        <r>
          <rPr>
            <sz val="10"/>
            <color indexed="81"/>
            <rFont val="Tahoma"/>
            <family val="2"/>
          </rPr>
          <t xml:space="preserve"> </t>
        </r>
      </text>
    </comment>
    <comment ref="D26" authorId="0" shapeId="0" xr:uid="{1C532B0D-C69C-45DA-9259-F92B5924A116}">
      <text>
        <r>
          <rPr>
            <sz val="10"/>
            <color indexed="81"/>
            <rFont val="Tahoma"/>
            <family val="2"/>
          </rPr>
          <t xml:space="preserve">  This is the </t>
        </r>
        <r>
          <rPr>
            <sz val="10"/>
            <color indexed="10"/>
            <rFont val="Tahoma"/>
            <family val="2"/>
          </rPr>
          <t>TOTAL SE%,</t>
        </r>
        <r>
          <rPr>
            <sz val="10"/>
            <color indexed="81"/>
            <rFont val="Tahoma"/>
            <family val="2"/>
          </rPr>
          <t xml:space="preserve"> combining the two different SE%'s for BA and *BAR.  Required in section #1, cell D9.
   It is computed using "Bruce's method". </t>
        </r>
      </text>
    </comment>
    <comment ref="I26" authorId="0" shapeId="0" xr:uid="{10BAE02F-541E-4B7F-904E-5A4EE04A2095}">
      <text>
        <r>
          <rPr>
            <sz val="10"/>
            <color indexed="81"/>
            <rFont val="Tahoma"/>
            <family val="2"/>
          </rPr>
          <t xml:space="preserve">  This is the </t>
        </r>
        <r>
          <rPr>
            <sz val="10"/>
            <color indexed="10"/>
            <rFont val="Tahoma"/>
            <family val="2"/>
          </rPr>
          <t>cost per sample point visited.</t>
        </r>
        <r>
          <rPr>
            <sz val="10"/>
            <color indexed="81"/>
            <rFont val="Tahoma"/>
            <family val="2"/>
          </rPr>
          <t xml:space="preserve">  
  It cannot be strictly compared to the other cost per point in cell H11, since different schemes are used.  The </t>
        </r>
        <r>
          <rPr>
            <sz val="10"/>
            <color indexed="10"/>
            <rFont val="Tahoma"/>
            <family val="2"/>
          </rPr>
          <t>relative efficiency is best expressed by cell F27, or I27.</t>
        </r>
      </text>
    </comment>
    <comment ref="C27" authorId="0" shapeId="0" xr:uid="{F14ED6EB-3496-4AF3-A45D-5E7951E954AC}">
      <text>
        <r>
          <rPr>
            <sz val="10"/>
            <color indexed="81"/>
            <rFont val="Tahoma"/>
            <family val="2"/>
          </rPr>
          <t xml:space="preserve">  This is the </t>
        </r>
        <r>
          <rPr>
            <sz val="10"/>
            <color indexed="10"/>
            <rFont val="Tahoma"/>
            <family val="2"/>
          </rPr>
          <t>total cost</t>
        </r>
        <r>
          <rPr>
            <sz val="10"/>
            <color indexed="81"/>
            <rFont val="Tahoma"/>
            <family val="2"/>
          </rPr>
          <t xml:space="preserve"> of obtaining the required SE% (cell D26) </t>
        </r>
        <r>
          <rPr>
            <sz val="10"/>
            <color indexed="10"/>
            <rFont val="Tahoma"/>
            <family val="2"/>
          </rPr>
          <t>IF</t>
        </r>
        <r>
          <rPr>
            <sz val="10"/>
            <color indexed="81"/>
            <rFont val="Tahoma"/>
            <family val="2"/>
          </rPr>
          <t xml:space="preserve"> you choose to measure </t>
        </r>
        <r>
          <rPr>
            <sz val="10"/>
            <color indexed="10"/>
            <rFont val="Tahoma"/>
            <family val="2"/>
          </rPr>
          <t>all</t>
        </r>
        <r>
          <rPr>
            <sz val="10"/>
            <color indexed="81"/>
            <rFont val="Tahoma"/>
            <family val="2"/>
          </rPr>
          <t xml:space="preserve"> the trees on </t>
        </r>
        <r>
          <rPr>
            <sz val="10"/>
            <color indexed="10"/>
            <rFont val="Tahoma"/>
            <family val="2"/>
          </rPr>
          <t>all</t>
        </r>
        <r>
          <rPr>
            <sz val="10"/>
            <color indexed="81"/>
            <rFont val="Tahoma"/>
            <family val="2"/>
          </rPr>
          <t xml:space="preserve"> the points.</t>
        </r>
      </text>
    </comment>
    <comment ref="F27" authorId="0" shapeId="0" xr:uid="{5E2E20A5-05BA-48FC-9D46-514CE322615D}">
      <text>
        <r>
          <rPr>
            <sz val="10"/>
            <color indexed="81"/>
            <rFont val="Tahoma"/>
            <family val="2"/>
          </rPr>
          <t xml:space="preserve">This is the </t>
        </r>
        <r>
          <rPr>
            <sz val="10"/>
            <color indexed="10"/>
            <rFont val="Tahoma"/>
            <family val="2"/>
          </rPr>
          <t>relative cost of the "full measure" plots</t>
        </r>
        <r>
          <rPr>
            <sz val="10"/>
            <color indexed="81"/>
            <rFont val="Tahoma"/>
            <family val="2"/>
          </rPr>
          <t xml:space="preserve"> as a percentage of the optimal ratio of C:M (to get the same result).</t>
        </r>
      </text>
    </comment>
    <comment ref="I27" authorId="0" shapeId="0" xr:uid="{6479BD5F-DAA4-4831-B993-E534B2260C2A}">
      <text>
        <r>
          <rPr>
            <sz val="10"/>
            <color indexed="81"/>
            <rFont val="Tahoma"/>
            <family val="2"/>
          </rPr>
          <t xml:space="preserve">  This is the </t>
        </r>
        <r>
          <rPr>
            <sz val="10"/>
            <color indexed="10"/>
            <rFont val="Tahoma"/>
            <family val="2"/>
          </rPr>
          <t>efficiency of the "full measured" option,</t>
        </r>
        <r>
          <rPr>
            <sz val="10"/>
            <color indexed="81"/>
            <rFont val="Tahoma"/>
            <family val="2"/>
          </rPr>
          <t xml:space="preserve"> as compared to the </t>
        </r>
        <r>
          <rPr>
            <i/>
            <sz val="10"/>
            <color indexed="81"/>
            <rFont val="Tahoma"/>
            <family val="2"/>
          </rPr>
          <t>optimal</t>
        </r>
        <r>
          <rPr>
            <sz val="10"/>
            <color indexed="81"/>
            <rFont val="Tahoma"/>
            <family val="2"/>
          </rPr>
          <t xml:space="preserve"> C:M ratio, (including fixed costs).  
</t>
        </r>
      </text>
    </comment>
    <comment ref="A29" authorId="0" shapeId="0" xr:uid="{530D75F1-AEBD-46E9-B7A4-B86B65D94D85}">
      <text>
        <r>
          <rPr>
            <sz val="10"/>
            <color indexed="81"/>
            <rFont val="Tahoma"/>
            <family val="2"/>
          </rPr>
          <t xml:space="preserve">  </t>
        </r>
        <r>
          <rPr>
            <sz val="10"/>
            <color indexed="10"/>
            <rFont val="Tahoma"/>
            <family val="2"/>
          </rPr>
          <t xml:space="preserve">This section will calculate the "t-value" </t>
        </r>
        <r>
          <rPr>
            <sz val="10"/>
            <color indexed="18"/>
            <rFont val="Tahoma"/>
            <family val="2"/>
          </rPr>
          <t>for any number of observations</t>
        </r>
        <r>
          <rPr>
            <sz val="10"/>
            <color indexed="81"/>
            <rFont val="Tahoma"/>
            <family val="2"/>
          </rPr>
          <t xml:space="preserve"> and any confidence level entered in the red cells, which is easier than interpolating a standard "t table".
If you want to see a t-table, there is one reproduced starting at cell AP2 on the right margin of this spreadsheet.</t>
        </r>
      </text>
    </comment>
    <comment ref="G29" authorId="0" shapeId="0" xr:uid="{995665B7-4E75-42AC-86C8-ACA95B091922}">
      <text>
        <r>
          <rPr>
            <sz val="10"/>
            <color indexed="81"/>
            <rFont val="Tahoma"/>
            <family val="2"/>
          </rPr>
          <t xml:space="preserve">  </t>
        </r>
        <r>
          <rPr>
            <sz val="10"/>
            <color indexed="10"/>
            <rFont val="Tahoma"/>
            <family val="2"/>
          </rPr>
          <t xml:space="preserve">These are the results that I would report if I was working with the SE% you entered into the yellow cell (D30).
               </t>
        </r>
        <r>
          <rPr>
            <b/>
            <sz val="10"/>
            <color indexed="10"/>
            <rFont val="Tahoma"/>
            <family val="2"/>
          </rPr>
          <t xml:space="preserve">  I would say:</t>
        </r>
        <r>
          <rPr>
            <sz val="10"/>
            <color indexed="12"/>
            <rFont val="Tahoma"/>
            <family val="2"/>
          </rPr>
          <t xml:space="preserve">
The current average has :
</t>
        </r>
        <r>
          <rPr>
            <u/>
            <sz val="10"/>
            <color indexed="12"/>
            <rFont val="Tahoma"/>
            <family val="2"/>
          </rPr>
          <t xml:space="preserve">about a </t>
        </r>
        <r>
          <rPr>
            <u/>
            <sz val="10"/>
            <color indexed="10"/>
            <rFont val="Tahoma"/>
            <family val="2"/>
          </rPr>
          <t>5%</t>
        </r>
        <r>
          <rPr>
            <u/>
            <sz val="10"/>
            <color indexed="12"/>
            <rFont val="Tahoma"/>
            <family val="2"/>
          </rPr>
          <t xml:space="preserve"> chance</t>
        </r>
        <r>
          <rPr>
            <sz val="10"/>
            <color indexed="12"/>
            <rFont val="Tahoma"/>
            <family val="2"/>
          </rPr>
          <t xml:space="preserve"> of being :
    </t>
        </r>
        <r>
          <rPr>
            <u/>
            <sz val="10"/>
            <color indexed="12"/>
            <rFont val="Tahoma"/>
            <family val="2"/>
          </rPr>
          <t>closer than</t>
        </r>
        <r>
          <rPr>
            <sz val="10"/>
            <color indexed="12"/>
            <rFont val="Tahoma"/>
            <family val="2"/>
          </rPr>
          <t xml:space="preserve"> {</t>
        </r>
        <r>
          <rPr>
            <i/>
            <sz val="10"/>
            <color indexed="12"/>
            <rFont val="Tahoma"/>
            <family val="2"/>
          </rPr>
          <t>enter the 5% answer</t>
        </r>
        <r>
          <rPr>
            <sz val="10"/>
            <color indexed="12"/>
            <rFont val="Tahoma"/>
            <family val="2"/>
          </rPr>
          <t xml:space="preserve">} or 
    </t>
        </r>
        <r>
          <rPr>
            <u/>
            <sz val="10"/>
            <color indexed="12"/>
            <rFont val="Tahoma"/>
            <family val="2"/>
          </rPr>
          <t>further away</t>
        </r>
        <r>
          <rPr>
            <sz val="10"/>
            <color indexed="12"/>
            <rFont val="Tahoma"/>
            <family val="2"/>
          </rPr>
          <t xml:space="preserve"> than {</t>
        </r>
        <r>
          <rPr>
            <i/>
            <sz val="10"/>
            <color indexed="12"/>
            <rFont val="Tahoma"/>
            <family val="2"/>
          </rPr>
          <t>enter the 95% answer</t>
        </r>
        <r>
          <rPr>
            <sz val="10"/>
            <color indexed="12"/>
            <rFont val="Tahoma"/>
            <family val="2"/>
          </rPr>
          <t xml:space="preserve">} 
         from the final answer, 
and has </t>
        </r>
        <r>
          <rPr>
            <u/>
            <sz val="10"/>
            <color indexed="10"/>
            <rFont val="Tahoma"/>
            <family val="2"/>
          </rPr>
          <t>about an equal chance</t>
        </r>
        <r>
          <rPr>
            <sz val="10"/>
            <color indexed="12"/>
            <rFont val="Tahoma"/>
            <family val="2"/>
          </rPr>
          <t xml:space="preserve"> of being closer or further away than {</t>
        </r>
        <r>
          <rPr>
            <i/>
            <sz val="10"/>
            <color indexed="12"/>
            <rFont val="Tahoma"/>
            <family val="2"/>
          </rPr>
          <t>enter the 50% answer</t>
        </r>
        <r>
          <rPr>
            <sz val="10"/>
            <color indexed="12"/>
            <rFont val="Tahoma"/>
            <family val="2"/>
          </rPr>
          <t xml:space="preserve">} from the final answer.  
  The "final answer" being the answer that you would get </t>
        </r>
        <r>
          <rPr>
            <i/>
            <sz val="10"/>
            <color indexed="12"/>
            <rFont val="Tahoma"/>
            <family val="2"/>
          </rPr>
          <t>if you went on sampling this way forever</t>
        </r>
        <r>
          <rPr>
            <sz val="10"/>
            <color indexed="12"/>
            <rFont val="Tahoma"/>
            <family val="2"/>
          </rPr>
          <t xml:space="preserve"> (and is the </t>
        </r>
        <r>
          <rPr>
            <u/>
            <sz val="10"/>
            <color indexed="12"/>
            <rFont val="Tahoma"/>
            <family val="2"/>
          </rPr>
          <t>correct</t>
        </r>
        <r>
          <rPr>
            <sz val="10"/>
            <color indexed="12"/>
            <rFont val="Tahoma"/>
            <family val="2"/>
          </rPr>
          <t xml:space="preserve"> answer only if there is no bias in the process).</t>
        </r>
        <r>
          <rPr>
            <sz val="10"/>
            <color indexed="81"/>
            <rFont val="Tahoma"/>
            <family val="2"/>
          </rPr>
          <t xml:space="preserve">
</t>
        </r>
      </text>
    </comment>
    <comment ref="J29" authorId="0" shapeId="0" xr:uid="{35399A7D-4070-462D-B315-A8DFC08728DE}">
      <text>
        <r>
          <rPr>
            <sz val="10"/>
            <color indexed="81"/>
            <rFont val="Tahoma"/>
            <family val="2"/>
          </rPr>
          <t xml:space="preserve">  In case you want to see what the standard set of statements would be with the data from part 1, the </t>
        </r>
        <r>
          <rPr>
            <sz val="10"/>
            <color indexed="10"/>
            <rFont val="Tahoma"/>
            <family val="2"/>
          </rPr>
          <t>Optimal Section,</t>
        </r>
        <r>
          <rPr>
            <sz val="10"/>
            <color indexed="81"/>
            <rFont val="Tahoma"/>
            <family val="2"/>
          </rPr>
          <t xml:space="preserve"> these are reproduced for your convenience.
  </t>
        </r>
        <r>
          <rPr>
            <sz val="10"/>
            <color indexed="10"/>
            <rFont val="Tahoma"/>
            <family val="2"/>
          </rPr>
          <t>Just fill them into cell E30</t>
        </r>
        <r>
          <rPr>
            <sz val="10"/>
            <color indexed="81"/>
            <rFont val="Tahoma"/>
            <family val="2"/>
          </rPr>
          <t xml:space="preserve"> if you are interested in the results for the total or the individual parts.</t>
        </r>
      </text>
    </comment>
    <comment ref="B30" authorId="0" shapeId="0" xr:uid="{C206E513-C776-46C9-B959-E1E2F1D03CE4}">
      <text>
        <r>
          <rPr>
            <sz val="10"/>
            <color indexed="81"/>
            <rFont val="Tahoma"/>
            <family val="2"/>
          </rPr>
          <t xml:space="preserve">  </t>
        </r>
        <r>
          <rPr>
            <sz val="10"/>
            <color indexed="10"/>
            <rFont val="Tahoma"/>
            <family val="2"/>
          </rPr>
          <t xml:space="preserve">Enter </t>
        </r>
        <r>
          <rPr>
            <sz val="10"/>
            <color indexed="18"/>
            <rFont val="Tahoma"/>
            <family val="2"/>
          </rPr>
          <t>the</t>
        </r>
        <r>
          <rPr>
            <sz val="10"/>
            <color indexed="10"/>
            <rFont val="Tahoma"/>
            <family val="2"/>
          </rPr>
          <t xml:space="preserve"> percent "confidence" you want.
</t>
        </r>
        <r>
          <rPr>
            <sz val="10"/>
            <color indexed="81"/>
            <rFont val="Tahoma"/>
            <family val="2"/>
          </rPr>
          <t xml:space="preserve">  For the seriously geeky, this is the 
"2-tailed" value, meaning there is 2.5% on each side of the t-value that will be shown when you put in a 95% confidence limit.  
  My own preference is to use the 50% confidence level whenever possible.</t>
        </r>
      </text>
    </comment>
    <comment ref="E30" authorId="0" shapeId="0" xr:uid="{3FCC9637-9B6E-4184-9E55-6D9B91B18106}">
      <text>
        <r>
          <rPr>
            <sz val="10"/>
            <color indexed="81"/>
            <rFont val="Tahoma"/>
            <family val="2"/>
          </rPr>
          <t xml:space="preserve">You can </t>
        </r>
        <r>
          <rPr>
            <sz val="10"/>
            <color indexed="10"/>
            <rFont val="Tahoma"/>
            <family val="2"/>
          </rPr>
          <t xml:space="preserve">enter any SE%  that you want.
</t>
        </r>
        <r>
          <rPr>
            <sz val="10"/>
            <color indexed="81"/>
            <rFont val="Tahoma"/>
            <family val="2"/>
          </rPr>
          <t xml:space="preserve">   </t>
        </r>
      </text>
    </comment>
    <comment ref="J30" authorId="0" shapeId="0" xr:uid="{80EA359E-C58B-41E3-8417-904602E59D7E}">
      <text>
        <r>
          <rPr>
            <sz val="10"/>
            <color indexed="81"/>
            <rFont val="Tahoma"/>
            <family val="2"/>
          </rPr>
          <t xml:space="preserve">  This a </t>
        </r>
        <r>
          <rPr>
            <u/>
            <sz val="10"/>
            <color indexed="10"/>
            <rFont val="Tahoma"/>
            <family val="2"/>
          </rPr>
          <t>copy</t>
        </r>
        <r>
          <rPr>
            <sz val="10"/>
            <color indexed="10"/>
            <rFont val="Tahoma"/>
            <family val="2"/>
          </rPr>
          <t xml:space="preserve"> of the</t>
        </r>
        <r>
          <rPr>
            <sz val="10"/>
            <color indexed="81"/>
            <rFont val="Tahoma"/>
            <family val="2"/>
          </rPr>
          <t xml:space="preserve"> </t>
        </r>
        <r>
          <rPr>
            <sz val="10"/>
            <color indexed="10"/>
            <rFont val="Tahoma"/>
            <family val="2"/>
          </rPr>
          <t xml:space="preserve">SE% for Basal area  from section #1 </t>
        </r>
        <r>
          <rPr>
            <sz val="10"/>
            <color indexed="81"/>
            <rFont val="Tahoma"/>
            <family val="2"/>
          </rPr>
          <t xml:space="preserve">(Optimal calculation of TC vs *BAR).  
   SE% for </t>
        </r>
        <r>
          <rPr>
            <i/>
            <sz val="10"/>
            <color indexed="81"/>
            <rFont val="Tahoma"/>
            <family val="2"/>
          </rPr>
          <t>Basal Area</t>
        </r>
        <r>
          <rPr>
            <sz val="10"/>
            <color indexed="81"/>
            <rFont val="Tahoma"/>
            <family val="2"/>
          </rPr>
          <t xml:space="preserve"> and </t>
        </r>
        <r>
          <rPr>
            <i/>
            <sz val="10"/>
            <color indexed="81"/>
            <rFont val="Tahoma"/>
            <family val="2"/>
          </rPr>
          <t>Tree Count</t>
        </r>
        <r>
          <rPr>
            <sz val="10"/>
            <color indexed="81"/>
            <rFont val="Tahoma"/>
            <family val="2"/>
          </rPr>
          <t xml:space="preserve"> are, of course, the same.</t>
        </r>
      </text>
    </comment>
    <comment ref="B31" authorId="0" shapeId="0" xr:uid="{78910208-50FA-4EDF-AF14-E0AF55467249}">
      <text>
        <r>
          <rPr>
            <sz val="10"/>
            <color indexed="10"/>
            <rFont val="Tahoma"/>
            <family val="2"/>
          </rPr>
          <t xml:space="preserve">   Enter</t>
        </r>
        <r>
          <rPr>
            <sz val="10"/>
            <color indexed="81"/>
            <rFont val="Tahoma"/>
            <family val="2"/>
          </rPr>
          <t xml:space="preserve"> the </t>
        </r>
        <r>
          <rPr>
            <sz val="10"/>
            <color indexed="10"/>
            <rFont val="Tahoma"/>
            <family val="2"/>
          </rPr>
          <t xml:space="preserve">number of </t>
        </r>
        <r>
          <rPr>
            <b/>
            <u/>
            <sz val="10"/>
            <color indexed="10"/>
            <rFont val="Tahoma"/>
            <family val="2"/>
          </rPr>
          <t>observations</t>
        </r>
        <r>
          <rPr>
            <sz val="10"/>
            <color indexed="10"/>
            <rFont val="Tahoma"/>
            <family val="2"/>
          </rPr>
          <t xml:space="preserve"> (n).</t>
        </r>
        <r>
          <rPr>
            <sz val="10"/>
            <color indexed="81"/>
            <rFont val="Tahoma"/>
            <family val="2"/>
          </rPr>
          <t xml:space="preserve">
</t>
        </r>
        <r>
          <rPr>
            <u/>
            <sz val="10"/>
            <color indexed="81"/>
            <rFont val="Tahoma"/>
            <family val="2"/>
          </rPr>
          <t>(Not</t>
        </r>
        <r>
          <rPr>
            <sz val="10"/>
            <color indexed="81"/>
            <rFont val="Tahoma"/>
            <family val="2"/>
          </rPr>
          <t xml:space="preserve"> the "degrees of freedom, which is n-1.)</t>
        </r>
      </text>
    </comment>
    <comment ref="E31" authorId="0" shapeId="0" xr:uid="{373616FD-9A46-437A-B88E-E68DA6B44235}">
      <text>
        <r>
          <rPr>
            <sz val="10"/>
            <color indexed="81"/>
            <rFont val="Tahoma"/>
            <family val="2"/>
          </rPr>
          <t xml:space="preserve">  This is simply the </t>
        </r>
        <r>
          <rPr>
            <sz val="10"/>
            <color indexed="10"/>
            <rFont val="Tahoma"/>
            <family val="2"/>
          </rPr>
          <t>"t" value</t>
        </r>
        <r>
          <rPr>
            <sz val="10"/>
            <color indexed="81"/>
            <rFont val="Tahoma"/>
            <family val="2"/>
          </rPr>
          <t xml:space="preserve"> in cell B32 </t>
        </r>
        <r>
          <rPr>
            <sz val="10"/>
            <color indexed="10"/>
            <rFont val="Tahoma"/>
            <family val="2"/>
          </rPr>
          <t>times the SE%</t>
        </r>
        <r>
          <rPr>
            <sz val="10"/>
            <color indexed="81"/>
            <rFont val="Tahoma"/>
            <family val="2"/>
          </rPr>
          <t xml:space="preserve"> you entered in the gold cell above.</t>
        </r>
      </text>
    </comment>
    <comment ref="G31" authorId="0" shapeId="0" xr:uid="{A6E2398F-8D16-45D7-A7C7-03DFA5650EF9}">
      <text>
        <r>
          <rPr>
            <sz val="10"/>
            <color indexed="81"/>
            <rFont val="Tahoma"/>
            <family val="2"/>
          </rPr>
          <t xml:space="preserve">  With the SE% from cell E30, and the sample size you entered, </t>
        </r>
        <r>
          <rPr>
            <sz val="10"/>
            <color indexed="10"/>
            <rFont val="Tahoma"/>
            <family val="2"/>
          </rPr>
          <t xml:space="preserve">there is about a 5% chance that you are actually </t>
        </r>
        <r>
          <rPr>
            <u/>
            <sz val="10"/>
            <color indexed="10"/>
            <rFont val="Tahoma"/>
            <family val="2"/>
          </rPr>
          <t>closer</t>
        </r>
        <r>
          <rPr>
            <sz val="10"/>
            <color indexed="10"/>
            <rFont val="Tahoma"/>
            <family val="2"/>
          </rPr>
          <t xml:space="preserve"> than this</t>
        </r>
        <r>
          <rPr>
            <sz val="10"/>
            <color indexed="81"/>
            <rFont val="Tahoma"/>
            <family val="2"/>
          </rPr>
          <t xml:space="preserve"> to the final answer.  </t>
        </r>
      </text>
    </comment>
    <comment ref="J31" authorId="0" shapeId="0" xr:uid="{FC9D1727-D4EB-49FB-A2C2-8A521CF64AEA}">
      <text>
        <r>
          <rPr>
            <sz val="10"/>
            <color indexed="81"/>
            <rFont val="Tahoma"/>
            <family val="2"/>
          </rPr>
          <t xml:space="preserve">  This a </t>
        </r>
        <r>
          <rPr>
            <u/>
            <sz val="10"/>
            <color indexed="10"/>
            <rFont val="Tahoma"/>
            <family val="2"/>
          </rPr>
          <t>copy</t>
        </r>
        <r>
          <rPr>
            <sz val="10"/>
            <color indexed="10"/>
            <rFont val="Tahoma"/>
            <family val="2"/>
          </rPr>
          <t xml:space="preserve"> </t>
        </r>
        <r>
          <rPr>
            <sz val="10"/>
            <color indexed="18"/>
            <rFont val="Tahoma"/>
            <family val="2"/>
          </rPr>
          <t>of the</t>
        </r>
        <r>
          <rPr>
            <sz val="10"/>
            <color indexed="10"/>
            <rFont val="Tahoma"/>
            <family val="2"/>
          </rPr>
          <t xml:space="preserve"> SE% for </t>
        </r>
        <r>
          <rPr>
            <u/>
            <sz val="10"/>
            <color indexed="10"/>
            <rFont val="Tahoma"/>
            <family val="2"/>
          </rPr>
          <t>*BAR</t>
        </r>
        <r>
          <rPr>
            <sz val="10"/>
            <color indexed="10"/>
            <rFont val="Tahoma"/>
            <family val="2"/>
          </rPr>
          <t xml:space="preserve"> </t>
        </r>
        <r>
          <rPr>
            <sz val="10"/>
            <color indexed="18"/>
            <rFont val="Tahoma"/>
            <family val="2"/>
          </rPr>
          <t xml:space="preserve">from the section on </t>
        </r>
        <r>
          <rPr>
            <sz val="10"/>
            <color indexed="81"/>
            <rFont val="Tahoma"/>
            <family val="2"/>
          </rPr>
          <t>optimal sampling.</t>
        </r>
      </text>
    </comment>
    <comment ref="C32" authorId="0" shapeId="0" xr:uid="{9FF59462-0D6E-49B2-8341-E7D51FF64C38}">
      <text>
        <r>
          <rPr>
            <sz val="10"/>
            <color indexed="10"/>
            <rFont val="Tahoma"/>
            <family val="2"/>
          </rPr>
          <t xml:space="preserve">  This is the "t-value"</t>
        </r>
        <r>
          <rPr>
            <sz val="10"/>
            <color indexed="81"/>
            <rFont val="Tahoma"/>
            <family val="2"/>
          </rPr>
          <t xml:space="preserve"> for the confidence level and the number of observations you have entered.</t>
        </r>
      </text>
    </comment>
    <comment ref="G32" authorId="0" shapeId="0" xr:uid="{0E6921AD-2D28-403C-991D-B621AF4D10C7}">
      <text>
        <r>
          <rPr>
            <sz val="10"/>
            <color indexed="81"/>
            <rFont val="Tahoma"/>
            <family val="2"/>
          </rPr>
          <t xml:space="preserve">   With the SE% from Cell E30 and the sample size you entered, there is about a </t>
        </r>
        <r>
          <rPr>
            <sz val="10"/>
            <color indexed="10"/>
            <rFont val="Tahoma"/>
            <family val="2"/>
          </rPr>
          <t>50% chance</t>
        </r>
        <r>
          <rPr>
            <sz val="10"/>
            <color indexed="81"/>
            <rFont val="Tahoma"/>
            <family val="2"/>
          </rPr>
          <t xml:space="preserve"> that the </t>
        </r>
        <r>
          <rPr>
            <sz val="10"/>
            <color indexed="10"/>
            <rFont val="Tahoma"/>
            <family val="2"/>
          </rPr>
          <t>final answer is further away or closer</t>
        </r>
        <r>
          <rPr>
            <sz val="10"/>
            <color indexed="81"/>
            <rFont val="Tahoma"/>
            <family val="2"/>
          </rPr>
          <t xml:space="preserve"> than this percentage.
  This has historically been called the </t>
        </r>
        <r>
          <rPr>
            <sz val="10"/>
            <color indexed="10"/>
            <rFont val="Tahoma"/>
            <family val="2"/>
          </rPr>
          <t>"probable error".</t>
        </r>
      </text>
    </comment>
    <comment ref="J32" authorId="0" shapeId="0" xr:uid="{E6805824-1A27-497B-AA62-113ADB99A398}">
      <text>
        <r>
          <rPr>
            <sz val="10"/>
            <color indexed="81"/>
            <rFont val="Tahoma"/>
            <family val="2"/>
          </rPr>
          <t xml:space="preserve">  This a </t>
        </r>
        <r>
          <rPr>
            <u/>
            <sz val="10"/>
            <color indexed="10"/>
            <rFont val="Tahoma"/>
            <family val="2"/>
          </rPr>
          <t>copy</t>
        </r>
        <r>
          <rPr>
            <sz val="10"/>
            <color indexed="10"/>
            <rFont val="Tahoma"/>
            <family val="2"/>
          </rPr>
          <t xml:space="preserve"> of the </t>
        </r>
        <r>
          <rPr>
            <u/>
            <sz val="10"/>
            <color indexed="10"/>
            <rFont val="Tahoma"/>
            <family val="2"/>
          </rPr>
          <t>combined</t>
        </r>
        <r>
          <rPr>
            <sz val="10"/>
            <color indexed="10"/>
            <rFont val="Tahoma"/>
            <family val="2"/>
          </rPr>
          <t xml:space="preserve"> SE% from section #1. </t>
        </r>
        <r>
          <rPr>
            <sz val="10"/>
            <color indexed="81"/>
            <rFont val="Tahoma"/>
            <family val="2"/>
          </rPr>
          <t>(Optimal calculation of TC vs *BAR)</t>
        </r>
      </text>
    </comment>
    <comment ref="E33" authorId="0" shapeId="0" xr:uid="{63D2AB03-64ED-4FFA-8760-1440B895BB16}">
      <text>
        <r>
          <rPr>
            <sz val="10"/>
            <color indexed="81"/>
            <rFont val="Tahoma"/>
            <family val="2"/>
          </rPr>
          <t xml:space="preserve">This section can be used for </t>
        </r>
        <r>
          <rPr>
            <sz val="10"/>
            <color indexed="10"/>
            <rFont val="Tahoma"/>
            <family val="2"/>
          </rPr>
          <t>computations or notes.</t>
        </r>
      </text>
    </comment>
    <comment ref="G33" authorId="0" shapeId="0" xr:uid="{A456E851-0791-4146-8E7A-6A55E6BACF04}">
      <text>
        <r>
          <rPr>
            <sz val="10"/>
            <color indexed="81"/>
            <rFont val="Tahoma"/>
            <family val="2"/>
          </rPr>
          <t xml:space="preserve">  With the SE% from Cell E30 and the sample size you entered, </t>
        </r>
        <r>
          <rPr>
            <sz val="10"/>
            <color indexed="10"/>
            <rFont val="Tahoma"/>
            <family val="2"/>
          </rPr>
          <t xml:space="preserve">there is about a 5% chance that you are actually </t>
        </r>
        <r>
          <rPr>
            <u val="double"/>
            <sz val="10"/>
            <color indexed="10"/>
            <rFont val="Tahoma"/>
            <family val="2"/>
          </rPr>
          <t>further</t>
        </r>
        <r>
          <rPr>
            <u/>
            <sz val="10"/>
            <color indexed="10"/>
            <rFont val="Tahoma"/>
            <family val="2"/>
          </rPr>
          <t xml:space="preserve"> than this</t>
        </r>
        <r>
          <rPr>
            <sz val="10"/>
            <color indexed="81"/>
            <rFont val="Tahoma"/>
            <family val="2"/>
          </rPr>
          <t xml:space="preserve"> from the final answer.
  </t>
        </r>
      </text>
    </comment>
    <comment ref="A35" authorId="1" shapeId="0" xr:uid="{76B476B9-61D9-47CF-92E5-A96F7B867714}">
      <text>
        <r>
          <rPr>
            <sz val="10"/>
            <color indexed="81"/>
            <rFont val="Tahoma"/>
            <family val="2"/>
          </rPr>
          <t>This section lets you calibrate an angle gauge (perhaps your thumb) and also calculates targets of distances to use, as well as the BAF for any plot radius factor you might want to use.</t>
        </r>
      </text>
    </comment>
    <comment ref="I37" authorId="0" shapeId="0" xr:uid="{8FDB598B-1E6F-45F1-ADB5-A846C0F6F1DE}">
      <text>
        <r>
          <rPr>
            <sz val="10"/>
            <color indexed="81"/>
            <rFont val="Tahoma"/>
            <family val="2"/>
          </rPr>
          <t xml:space="preserve">  </t>
        </r>
        <r>
          <rPr>
            <sz val="10"/>
            <color indexed="10"/>
            <rFont val="Tahoma"/>
            <family val="2"/>
          </rPr>
          <t xml:space="preserve">Put in convenient </t>
        </r>
        <r>
          <rPr>
            <u/>
            <sz val="10"/>
            <color indexed="10"/>
            <rFont val="Tahoma"/>
            <family val="2"/>
          </rPr>
          <t>English</t>
        </r>
        <r>
          <rPr>
            <sz val="10"/>
            <color indexed="10"/>
            <rFont val="Tahoma"/>
            <family val="2"/>
          </rPr>
          <t xml:space="preserve"> BAFs</t>
        </r>
        <r>
          <rPr>
            <sz val="10"/>
            <color indexed="81"/>
            <rFont val="Tahoma"/>
            <family val="2"/>
          </rPr>
          <t xml:space="preserve">. (English BAFs are just 4.356 * metric BAFs).  Then you can calculate distances in feet from (for example) a standard 8.5" sheet of paper on the wall to </t>
        </r>
        <r>
          <rPr>
            <sz val="10"/>
            <color indexed="10"/>
            <rFont val="Tahoma"/>
            <family val="2"/>
          </rPr>
          <t>calibrate your thumb</t>
        </r>
        <r>
          <rPr>
            <sz val="10"/>
            <color indexed="81"/>
            <rFont val="Tahoma"/>
            <family val="2"/>
          </rPr>
          <t xml:space="preserve"> for rough work. 
  If you usually use a particular prism, stand at that distance and find something to use to create that angle for approximate work (the width of 2 fingers, or your increment bore, for instance).  With your </t>
        </r>
        <r>
          <rPr>
            <sz val="10"/>
            <color indexed="10"/>
            <rFont val="Tahoma"/>
            <family val="2"/>
          </rPr>
          <t>thumb</t>
        </r>
        <r>
          <rPr>
            <sz val="10"/>
            <color indexed="81"/>
            <rFont val="Tahoma"/>
            <family val="2"/>
          </rPr>
          <t xml:space="preserve"> the measured distance is to your </t>
        </r>
        <r>
          <rPr>
            <sz val="10"/>
            <color indexed="10"/>
            <rFont val="Tahoma"/>
            <family val="2"/>
          </rPr>
          <t>EYE,</t>
        </r>
        <r>
          <rPr>
            <sz val="10"/>
            <color indexed="81"/>
            <rFont val="Tahoma"/>
            <family val="2"/>
          </rPr>
          <t xml:space="preserve"> since that is </t>
        </r>
        <r>
          <rPr>
            <b/>
            <sz val="10"/>
            <color indexed="12"/>
            <rFont val="Tahoma"/>
            <family val="2"/>
          </rPr>
          <t>the vertex of the angle</t>
        </r>
        <r>
          <rPr>
            <sz val="10"/>
            <color indexed="81"/>
            <rFont val="Tahoma"/>
            <family val="2"/>
          </rPr>
          <t xml:space="preserve"> being created.  
  With </t>
        </r>
        <r>
          <rPr>
            <sz val="10"/>
            <color indexed="10"/>
            <rFont val="Tahoma"/>
            <family val="2"/>
          </rPr>
          <t>prisms,</t>
        </r>
        <r>
          <rPr>
            <sz val="10"/>
            <color indexed="81"/>
            <rFont val="Tahoma"/>
            <family val="2"/>
          </rPr>
          <t xml:space="preserve"> the angle vertex occurs at the </t>
        </r>
        <r>
          <rPr>
            <sz val="10"/>
            <color indexed="10"/>
            <rFont val="Tahoma"/>
            <family val="2"/>
          </rPr>
          <t>prism.</t>
        </r>
        <r>
          <rPr>
            <sz val="10"/>
            <color indexed="81"/>
            <rFont val="Tahoma"/>
            <family val="2"/>
          </rPr>
          <t xml:space="preserve">  With a </t>
        </r>
        <r>
          <rPr>
            <sz val="10"/>
            <color indexed="10"/>
            <rFont val="Tahoma"/>
            <family val="2"/>
          </rPr>
          <t>Relascope,</t>
        </r>
        <r>
          <rPr>
            <sz val="10"/>
            <color indexed="81"/>
            <rFont val="Tahoma"/>
            <family val="2"/>
          </rPr>
          <t xml:space="preserve"> it is roughly at your </t>
        </r>
        <r>
          <rPr>
            <sz val="10"/>
            <color indexed="10"/>
            <rFont val="Tahoma"/>
            <family val="2"/>
          </rPr>
          <t>eye</t>
        </r>
        <r>
          <rPr>
            <sz val="10"/>
            <color indexed="81"/>
            <rFont val="Tahoma"/>
            <family val="2"/>
          </rPr>
          <t xml:space="preserve"> again.  </t>
        </r>
      </text>
    </comment>
    <comment ref="C38" authorId="0" shapeId="0" xr:uid="{FFB06250-6BC6-4EFF-90F6-EDFBB5EC633E}">
      <text>
        <r>
          <rPr>
            <sz val="10"/>
            <color indexed="81"/>
            <rFont val="Tahoma"/>
            <family val="2"/>
          </rPr>
          <t xml:space="preserve">Enter the </t>
        </r>
        <r>
          <rPr>
            <sz val="10"/>
            <color indexed="10"/>
            <rFont val="Tahoma"/>
            <family val="2"/>
          </rPr>
          <t>width of the target</t>
        </r>
        <r>
          <rPr>
            <sz val="10"/>
            <color indexed="81"/>
            <rFont val="Tahoma"/>
            <family val="2"/>
          </rPr>
          <t xml:space="preserve"> 
(in inches).  A standard sheet of typing paper is 8.5 inches.</t>
        </r>
      </text>
    </comment>
    <comment ref="F38" authorId="1" shapeId="0" xr:uid="{CAEBD290-C171-4E75-9433-FC62D369DB4D}">
      <text>
        <r>
          <rPr>
            <sz val="9"/>
            <color indexed="81"/>
            <rFont val="Tahoma"/>
            <family val="2"/>
          </rPr>
          <t>This distance as a "crossbar" at the given width will produce the BAF wanted.</t>
        </r>
      </text>
    </comment>
    <comment ref="C39" authorId="0" shapeId="0" xr:uid="{81D570B8-CA53-4224-AF9A-79995E05EDBB}">
      <text>
        <r>
          <rPr>
            <sz val="10"/>
            <color indexed="81"/>
            <rFont val="Tahoma"/>
            <family val="2"/>
          </rPr>
          <t xml:space="preserve">Enter the </t>
        </r>
        <r>
          <rPr>
            <sz val="10"/>
            <color indexed="10"/>
            <rFont val="Tahoma"/>
            <family val="2"/>
          </rPr>
          <t>distance to the target.</t>
        </r>
        <r>
          <rPr>
            <sz val="10"/>
            <color indexed="81"/>
            <rFont val="Tahoma"/>
            <family val="2"/>
          </rPr>
          <t xml:space="preserve"> 
(in the feet) to where the target seems to be "borderline".</t>
        </r>
      </text>
    </comment>
    <comment ref="E39" authorId="1" shapeId="0" xr:uid="{36736821-4D55-42D3-B9A3-0CF388D98CB0}">
      <text>
        <r>
          <rPr>
            <sz val="10"/>
            <color indexed="81"/>
            <rFont val="Tahoma"/>
            <family val="2"/>
          </rPr>
          <t xml:space="preserve">The target size, as stated, if held at this distance will provide the stated BAF. </t>
        </r>
      </text>
    </comment>
    <comment ref="D40" authorId="0" shapeId="0" xr:uid="{2B56A453-DDDF-4C1F-84C2-DA429FE58585}">
      <text>
        <r>
          <rPr>
            <sz val="10"/>
            <color indexed="81"/>
            <rFont val="Tahoma"/>
            <family val="2"/>
          </rPr>
          <t xml:space="preserve">  This is the </t>
        </r>
        <r>
          <rPr>
            <sz val="10"/>
            <color indexed="10"/>
            <rFont val="Tahoma"/>
            <family val="2"/>
          </rPr>
          <t xml:space="preserve">Calculated </t>
        </r>
        <r>
          <rPr>
            <u/>
            <sz val="10"/>
            <color indexed="10"/>
            <rFont val="Tahoma"/>
            <family val="2"/>
          </rPr>
          <t>English</t>
        </r>
        <r>
          <rPr>
            <sz val="10"/>
            <color indexed="10"/>
            <rFont val="Tahoma"/>
            <family val="2"/>
          </rPr>
          <t xml:space="preserve"> BAF</t>
        </r>
        <r>
          <rPr>
            <sz val="10"/>
            <color indexed="81"/>
            <rFont val="Tahoma"/>
            <family val="2"/>
          </rPr>
          <t xml:space="preserve"> of that target at that distance, in </t>
        </r>
        <r>
          <rPr>
            <sz val="10"/>
            <color indexed="10"/>
            <rFont val="Tahoma"/>
            <family val="2"/>
          </rPr>
          <t>square feet per acre.</t>
        </r>
        <r>
          <rPr>
            <sz val="10"/>
            <color indexed="81"/>
            <rFont val="Tahoma"/>
            <family val="2"/>
          </rPr>
          <t xml:space="preserve">
  </t>
        </r>
        <r>
          <rPr>
            <sz val="10"/>
            <color indexed="14"/>
            <rFont val="Tahoma"/>
            <family val="2"/>
          </rPr>
          <t xml:space="preserve">The actual BAF should be defined by the Plot Radius Factor (PRF) that is used to check borderline trees (see sub-section at lower left of this tan colored section). </t>
        </r>
        <r>
          <rPr>
            <sz val="10"/>
            <color indexed="81"/>
            <rFont val="Tahoma"/>
            <family val="2"/>
          </rPr>
          <t xml:space="preserve"> </t>
        </r>
        <r>
          <rPr>
            <i/>
            <sz val="10"/>
            <color indexed="81"/>
            <rFont val="Tahoma"/>
            <family val="2"/>
          </rPr>
          <t>If you do not check borderline trees,</t>
        </r>
        <r>
          <rPr>
            <sz val="10"/>
            <color indexed="81"/>
            <rFont val="Tahoma"/>
            <family val="2"/>
          </rPr>
          <t xml:space="preserve"> the BAF is this calculated one, and it depends on the person using the angle guage, as well as the instrument.</t>
        </r>
      </text>
    </comment>
    <comment ref="K40" authorId="2" shapeId="0" xr:uid="{1CE0C273-BFB6-4695-BBB4-1583C597AD6F}">
      <text>
        <r>
          <rPr>
            <sz val="10"/>
            <color indexed="81"/>
            <rFont val="Tahoma"/>
            <family val="2"/>
          </rPr>
          <t xml:space="preserve">  </t>
        </r>
        <r>
          <rPr>
            <sz val="9"/>
            <color indexed="12"/>
            <rFont val="Tahoma"/>
            <family val="2"/>
          </rPr>
          <t>The gold cells are here in case you want to make any temporary calculations.</t>
        </r>
      </text>
    </comment>
    <comment ref="C41" authorId="0" shapeId="0" xr:uid="{D127E3A6-E9DB-4AC3-B945-62A3E8024B66}">
      <text>
        <r>
          <rPr>
            <sz val="10"/>
            <color indexed="81"/>
            <rFont val="Tahoma"/>
            <family val="2"/>
          </rPr>
          <t xml:space="preserve">  Enter a </t>
        </r>
        <r>
          <rPr>
            <sz val="10"/>
            <color indexed="10"/>
            <rFont val="Tahoma"/>
            <family val="2"/>
          </rPr>
          <t>1</t>
        </r>
        <r>
          <rPr>
            <sz val="10"/>
            <color indexed="81"/>
            <rFont val="Tahoma"/>
            <family val="2"/>
          </rPr>
          <t xml:space="preserve"> if you are using a </t>
        </r>
        <r>
          <rPr>
            <sz val="10"/>
            <color indexed="10"/>
            <rFont val="Tahoma"/>
            <family val="2"/>
          </rPr>
          <t>flat</t>
        </r>
        <r>
          <rPr>
            <sz val="10"/>
            <color indexed="81"/>
            <rFont val="Tahoma"/>
            <family val="2"/>
          </rPr>
          <t xml:space="preserve"> target like a sheet of paper, and a </t>
        </r>
        <r>
          <rPr>
            <sz val="10"/>
            <color indexed="10"/>
            <rFont val="Tahoma"/>
            <family val="2"/>
          </rPr>
          <t>0</t>
        </r>
        <r>
          <rPr>
            <sz val="10"/>
            <color indexed="81"/>
            <rFont val="Tahoma"/>
            <family val="2"/>
          </rPr>
          <t xml:space="preserve"> if you are using a </t>
        </r>
        <r>
          <rPr>
            <sz val="10"/>
            <color indexed="10"/>
            <rFont val="Tahoma"/>
            <family val="2"/>
          </rPr>
          <t>cylinder</t>
        </r>
        <r>
          <rPr>
            <sz val="10"/>
            <color indexed="81"/>
            <rFont val="Tahoma"/>
            <family val="2"/>
          </rPr>
          <t xml:space="preserve"> as the target (easy to remember because a zero looks like a cylinder cross-section).
  This is a small correction, but you might as well use it. 
It matters with very large BAFs.</t>
        </r>
      </text>
    </comment>
    <comment ref="D41" authorId="1" shapeId="0" xr:uid="{B95A5198-CD93-4B50-B97E-F693C8B1358E}">
      <text>
        <r>
          <rPr>
            <sz val="9"/>
            <color indexed="81"/>
            <rFont val="Tahoma"/>
            <family val="2"/>
          </rPr>
          <t xml:space="preserve">A 1.0 here is for a </t>
        </r>
        <r>
          <rPr>
            <b/>
            <u/>
            <sz val="9"/>
            <color indexed="81"/>
            <rFont val="Tahoma"/>
            <family val="2"/>
          </rPr>
          <t>flat</t>
        </r>
        <r>
          <rPr>
            <sz val="9"/>
            <color indexed="81"/>
            <rFont val="Tahoma"/>
            <family val="2"/>
          </rPr>
          <t xml:space="preserve"> target.</t>
        </r>
      </text>
    </comment>
    <comment ref="H41" authorId="0" shapeId="0" xr:uid="{CFB80EEE-FA4E-4CA8-86F1-6E59E2FC530F}">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the BAF in cell F38, </t>
        </r>
        <r>
          <rPr>
            <sz val="10"/>
            <color indexed="10"/>
            <rFont val="Tahoma"/>
            <family val="2"/>
          </rPr>
          <t>in Feet per inch</t>
        </r>
        <r>
          <rPr>
            <sz val="10"/>
            <color indexed="81"/>
            <rFont val="Tahoma"/>
            <family val="2"/>
          </rPr>
          <t xml:space="preserve"> of DBH to the </t>
        </r>
        <r>
          <rPr>
            <b/>
            <sz val="10"/>
            <color indexed="81"/>
            <rFont val="Tahoma"/>
            <family val="2"/>
          </rPr>
          <t>CENTER</t>
        </r>
        <r>
          <rPr>
            <sz val="10"/>
            <color indexed="81"/>
            <rFont val="Tahoma"/>
            <family val="2"/>
          </rPr>
          <t xml:space="preserve"> of the tree.
</t>
        </r>
      </text>
    </comment>
    <comment ref="H42" authorId="0" shapeId="0" xr:uid="{A5A89CFC-8B3B-451C-B170-4CF11C3A9F99}">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the BAF in cell F38, </t>
        </r>
        <r>
          <rPr>
            <sz val="10"/>
            <color indexed="10"/>
            <rFont val="Tahoma"/>
            <family val="2"/>
          </rPr>
          <t>in Feet per inch</t>
        </r>
        <r>
          <rPr>
            <sz val="10"/>
            <color indexed="81"/>
            <rFont val="Tahoma"/>
            <family val="2"/>
          </rPr>
          <t xml:space="preserve"> of DBH to the </t>
        </r>
        <r>
          <rPr>
            <b/>
            <sz val="10"/>
            <color indexed="81"/>
            <rFont val="Tahoma"/>
            <family val="2"/>
          </rPr>
          <t>EDGE</t>
        </r>
        <r>
          <rPr>
            <sz val="10"/>
            <color indexed="81"/>
            <rFont val="Tahoma"/>
            <family val="2"/>
          </rPr>
          <t xml:space="preserve"> of the tree.
</t>
        </r>
      </text>
    </comment>
    <comment ref="B43" authorId="0" shapeId="0" xr:uid="{434A273A-4FC8-48EB-AABA-4C682DA56988}">
      <text>
        <r>
          <rPr>
            <sz val="10"/>
            <color indexed="81"/>
            <rFont val="Tahoma"/>
            <family val="2"/>
          </rPr>
          <t xml:space="preserve">  If you want to compute the BAF from a particular Plot Radius Factor, this section will do that.   </t>
        </r>
        <r>
          <rPr>
            <sz val="10"/>
            <color indexed="10"/>
            <rFont val="Tahoma"/>
            <family val="2"/>
          </rPr>
          <t>Enter the Plot Radius Factor you might use here. Check the amount that rounding will change the BAF.</t>
        </r>
        <r>
          <rPr>
            <sz val="10"/>
            <color indexed="81"/>
            <rFont val="Tahoma"/>
            <family val="2"/>
          </rPr>
          <t xml:space="preserve">
</t>
        </r>
        <r>
          <rPr>
            <sz val="10"/>
            <color indexed="10"/>
            <rFont val="Tahoma"/>
            <family val="2"/>
          </rPr>
          <t>The way you check borderline trees determines the exact BAF that should be used in compilations.</t>
        </r>
        <r>
          <rPr>
            <sz val="10"/>
            <color indexed="81"/>
            <rFont val="Tahoma"/>
            <family val="2"/>
          </rPr>
          <t xml:space="preserve">   If you check them with the Plot Radius Factor, using a particular number of digits, this is how you should compute the BAF for compiling the data.
  If you determine borderline trees by eye, then you should calibrate the prism for yourself, since everyone views "borderline" a bit differently.  
</t>
        </r>
      </text>
    </comment>
    <comment ref="H43" authorId="0" shapeId="0" xr:uid="{9952C57D-ECAB-4FB0-ACEC-1A617F45F8F7}">
      <text>
        <r>
          <rPr>
            <sz val="10"/>
            <color indexed="10"/>
            <rFont val="Tahoma"/>
            <family val="2"/>
          </rPr>
          <t xml:space="preserve"> Enter the DBH in inches</t>
        </r>
        <r>
          <rPr>
            <sz val="10"/>
            <color indexed="81"/>
            <rFont val="Tahoma"/>
            <family val="2"/>
          </rPr>
          <t xml:space="preserve"> here (or in the cell below, and it will compute the "critical distance" where the tree is borderline.</t>
        </r>
      </text>
    </comment>
    <comment ref="D44" authorId="0" shapeId="0" xr:uid="{BEB72DCD-2572-4748-A0ED-98877EEDB726}">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for a Plot Radius Factor (cell C43) measured to the </t>
        </r>
        <r>
          <rPr>
            <sz val="10"/>
            <color indexed="10"/>
            <rFont val="Tahoma"/>
            <family val="2"/>
          </rPr>
          <t>center</t>
        </r>
        <r>
          <rPr>
            <sz val="10"/>
            <color indexed="81"/>
            <rFont val="Tahoma"/>
            <family val="2"/>
          </rPr>
          <t xml:space="preserve"> of a tree in </t>
        </r>
        <r>
          <rPr>
            <sz val="10"/>
            <color indexed="10"/>
            <rFont val="Tahoma"/>
            <family val="2"/>
          </rPr>
          <t>Square feet/acre.</t>
        </r>
      </text>
    </comment>
    <comment ref="E44" authorId="0" shapeId="0" xr:uid="{2DA37CE3-2DAF-4F74-B3EB-48C8CD0B13A1}">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for a Plot Radius Factor (cell C43) measured to the </t>
        </r>
        <r>
          <rPr>
            <sz val="10"/>
            <color indexed="10"/>
            <rFont val="Tahoma"/>
            <family val="2"/>
          </rPr>
          <t>FACE</t>
        </r>
        <r>
          <rPr>
            <sz val="10"/>
            <color indexed="81"/>
            <rFont val="Tahoma"/>
            <family val="2"/>
          </rPr>
          <t xml:space="preserve"> of a tree in </t>
        </r>
        <r>
          <rPr>
            <sz val="10"/>
            <color indexed="10"/>
            <rFont val="Tahoma"/>
            <family val="2"/>
          </rPr>
          <t>Square feet/acre.</t>
        </r>
      </text>
    </comment>
    <comment ref="G44" authorId="0" shapeId="0" xr:uid="{CB045525-100F-4DA7-A3A1-01ADFB8B09C4}">
      <text>
        <r>
          <rPr>
            <sz val="10"/>
            <color indexed="81"/>
            <rFont val="Tahoma"/>
            <family val="2"/>
          </rPr>
          <t xml:space="preserve">  With the diameter (cell H43), and the BAF in this section (cell F38,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center</t>
        </r>
        <r>
          <rPr>
            <sz val="10"/>
            <color indexed="81"/>
            <rFont val="Tahoma"/>
            <family val="2"/>
          </rPr>
          <t xml:space="preserve"> of tree to the edge of plot, in </t>
        </r>
        <r>
          <rPr>
            <sz val="10"/>
            <color indexed="10"/>
            <rFont val="Tahoma"/>
            <family val="2"/>
          </rPr>
          <t>feet.</t>
        </r>
        <r>
          <rPr>
            <sz val="10"/>
            <color indexed="81"/>
            <rFont val="Tahoma"/>
            <family val="2"/>
          </rPr>
          <t xml:space="preserve">
  ------------------------------
  You can also calculate exact Plot Radius Factors from  BAFs you enter in one of the sections below this one.</t>
        </r>
      </text>
    </comment>
    <comment ref="D45" authorId="1" shapeId="0" xr:uid="{669B1ABE-F0D7-4306-AE8C-C304CFD6398D}">
      <text>
        <r>
          <rPr>
            <sz val="9"/>
            <color indexed="81"/>
            <rFont val="Tahoma"/>
            <family val="2"/>
          </rPr>
          <t>Proportion of the BAF in cell I37</t>
        </r>
      </text>
    </comment>
    <comment ref="E45" authorId="1" shapeId="0" xr:uid="{CD418C7C-CC48-4DBF-AD49-E052A84D60BD}">
      <text>
        <r>
          <rPr>
            <sz val="9"/>
            <color indexed="81"/>
            <rFont val="Tahoma"/>
            <family val="2"/>
          </rPr>
          <t>Proportion of the BAF in cell I37</t>
        </r>
      </text>
    </comment>
    <comment ref="G45" authorId="0" shapeId="0" xr:uid="{FA7607E8-BE4D-419E-BF47-CDC25C94A28B}">
      <text>
        <r>
          <rPr>
            <sz val="10"/>
            <color indexed="81"/>
            <rFont val="Tahoma"/>
            <family val="2"/>
          </rPr>
          <t xml:space="preserve">  With the diameter (cell H43), and the BAF in this section (cell F38,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FACE</t>
        </r>
        <r>
          <rPr>
            <sz val="10"/>
            <color indexed="81"/>
            <rFont val="Tahoma"/>
            <family val="2"/>
          </rPr>
          <t xml:space="preserve"> of tree to the edge of plot, in </t>
        </r>
        <r>
          <rPr>
            <sz val="10"/>
            <color indexed="10"/>
            <rFont val="Tahoma"/>
            <family val="2"/>
          </rPr>
          <t>feet.</t>
        </r>
        <r>
          <rPr>
            <sz val="10"/>
            <color indexed="81"/>
            <rFont val="Tahoma"/>
            <family val="2"/>
          </rPr>
          <t xml:space="preserve">
  ------------------------------
  You can also calculate exact Plot Radius Factors from  BAFs you enter in one of the sections below this one.</t>
        </r>
      </text>
    </comment>
    <comment ref="A47" authorId="1" shapeId="0" xr:uid="{5F3245C2-BD0A-4011-815F-E0B726C59EB6}">
      <text>
        <r>
          <rPr>
            <sz val="10"/>
            <color indexed="81"/>
            <rFont val="Tahoma"/>
            <family val="2"/>
          </rPr>
          <t>This section lets you calibrate an angle gauge (perhaps your thumb) and also calculates targets of distances to use, as well as the BAF for any plot radius factor you might want to use.</t>
        </r>
      </text>
    </comment>
    <comment ref="I49" authorId="0" shapeId="0" xr:uid="{983B06B9-731C-4C9F-A50F-D2C44300FB20}">
      <text>
        <r>
          <rPr>
            <sz val="10"/>
            <color indexed="81"/>
            <rFont val="Tahoma"/>
            <family val="2"/>
          </rPr>
          <t xml:space="preserve">  </t>
        </r>
        <r>
          <rPr>
            <sz val="10"/>
            <color indexed="10"/>
            <rFont val="Tahoma"/>
            <family val="2"/>
          </rPr>
          <t xml:space="preserve">Put in convenient </t>
        </r>
        <r>
          <rPr>
            <u/>
            <sz val="10"/>
            <color indexed="10"/>
            <rFont val="Tahoma"/>
            <family val="2"/>
          </rPr>
          <t>Metric</t>
        </r>
        <r>
          <rPr>
            <sz val="10"/>
            <color indexed="10"/>
            <rFont val="Tahoma"/>
            <family val="2"/>
          </rPr>
          <t xml:space="preserve"> BAFs</t>
        </r>
        <r>
          <rPr>
            <sz val="10"/>
            <color indexed="81"/>
            <rFont val="Tahoma"/>
            <family val="2"/>
          </rPr>
          <t xml:space="preserve">.  Then you can calculate distances in feet from a standard sheet of paper on the wall to </t>
        </r>
        <r>
          <rPr>
            <sz val="10"/>
            <color indexed="10"/>
            <rFont val="Tahoma"/>
            <family val="2"/>
          </rPr>
          <t>calibrate your thumb</t>
        </r>
        <r>
          <rPr>
            <sz val="10"/>
            <color indexed="81"/>
            <rFont val="Tahoma"/>
            <family val="2"/>
          </rPr>
          <t xml:space="preserve"> for rough work. 
  If you usually use a particular prism, stand at that distance and find something to use to create that angle for approximate work (the width of 2 fingers, or your increment bore, for instance).  With your </t>
        </r>
        <r>
          <rPr>
            <sz val="10"/>
            <color indexed="10"/>
            <rFont val="Tahoma"/>
            <family val="2"/>
          </rPr>
          <t>thumb</t>
        </r>
        <r>
          <rPr>
            <sz val="10"/>
            <color indexed="81"/>
            <rFont val="Tahoma"/>
            <family val="2"/>
          </rPr>
          <t xml:space="preserve"> the distance is to your EYE, since that is the vertex of the angle being created.  
  With </t>
        </r>
        <r>
          <rPr>
            <sz val="10"/>
            <color indexed="10"/>
            <rFont val="Tahoma"/>
            <family val="2"/>
          </rPr>
          <t>prisms,</t>
        </r>
        <r>
          <rPr>
            <sz val="10"/>
            <color indexed="81"/>
            <rFont val="Tahoma"/>
            <family val="2"/>
          </rPr>
          <t xml:space="preserve"> the vertex occurs at the prism.  With a </t>
        </r>
        <r>
          <rPr>
            <sz val="10"/>
            <color indexed="10"/>
            <rFont val="Tahoma"/>
            <family val="2"/>
          </rPr>
          <t>Relascope,</t>
        </r>
        <r>
          <rPr>
            <sz val="10"/>
            <color indexed="81"/>
            <rFont val="Tahoma"/>
            <family val="2"/>
          </rPr>
          <t xml:space="preserve"> it is roughly at your eye again.  </t>
        </r>
      </text>
    </comment>
    <comment ref="C50" authorId="0" shapeId="0" xr:uid="{DB44BEB7-C7A0-4754-854B-1D41A4E13887}">
      <text>
        <r>
          <rPr>
            <sz val="10"/>
            <color indexed="81"/>
            <rFont val="Tahoma"/>
            <family val="2"/>
          </rPr>
          <t xml:space="preserve">Enter the </t>
        </r>
        <r>
          <rPr>
            <sz val="10"/>
            <color indexed="10"/>
            <rFont val="Tahoma"/>
            <family val="2"/>
          </rPr>
          <t>width of the target</t>
        </r>
        <r>
          <rPr>
            <sz val="10"/>
            <color indexed="81"/>
            <rFont val="Tahoma"/>
            <family val="2"/>
          </rPr>
          <t xml:space="preserve"> 
(in centimeters)</t>
        </r>
      </text>
    </comment>
    <comment ref="C51" authorId="0" shapeId="0" xr:uid="{AF3AFB3D-6EAF-441E-A1F1-1A40B8DC37D4}">
      <text>
        <r>
          <rPr>
            <sz val="10"/>
            <color indexed="81"/>
            <rFont val="Tahoma"/>
            <family val="2"/>
          </rPr>
          <t xml:space="preserve">Enter the </t>
        </r>
        <r>
          <rPr>
            <sz val="10"/>
            <color indexed="10"/>
            <rFont val="Tahoma"/>
            <family val="2"/>
          </rPr>
          <t>distance to the target.</t>
        </r>
        <r>
          <rPr>
            <sz val="10"/>
            <color indexed="81"/>
            <rFont val="Tahoma"/>
            <family val="2"/>
          </rPr>
          <t xml:space="preserve"> 
(in meters)</t>
        </r>
      </text>
    </comment>
    <comment ref="D52" authorId="0" shapeId="0" xr:uid="{4075E757-2F9F-4F70-B935-17F9F9A664E1}">
      <text>
        <r>
          <rPr>
            <sz val="10"/>
            <color indexed="81"/>
            <rFont val="Tahoma"/>
            <family val="2"/>
          </rPr>
          <t xml:space="preserve">  This is the </t>
        </r>
        <r>
          <rPr>
            <sz val="10"/>
            <color indexed="10"/>
            <rFont val="Tahoma"/>
            <family val="2"/>
          </rPr>
          <t xml:space="preserve">Calculated </t>
        </r>
        <r>
          <rPr>
            <u/>
            <sz val="10"/>
            <color indexed="10"/>
            <rFont val="Tahoma"/>
            <family val="2"/>
          </rPr>
          <t>METRIC</t>
        </r>
        <r>
          <rPr>
            <sz val="10"/>
            <color indexed="10"/>
            <rFont val="Tahoma"/>
            <family val="2"/>
          </rPr>
          <t xml:space="preserve"> BAF</t>
        </r>
        <r>
          <rPr>
            <sz val="10"/>
            <color indexed="81"/>
            <rFont val="Tahoma"/>
            <family val="2"/>
          </rPr>
          <t xml:space="preserve"> of that target at that distance, in </t>
        </r>
        <r>
          <rPr>
            <sz val="10"/>
            <color indexed="10"/>
            <rFont val="Tahoma"/>
            <family val="2"/>
          </rPr>
          <t>square meters per hectare.</t>
        </r>
        <r>
          <rPr>
            <sz val="10"/>
            <color indexed="81"/>
            <rFont val="Tahoma"/>
            <family val="2"/>
          </rPr>
          <t xml:space="preserve">
  </t>
        </r>
        <r>
          <rPr>
            <sz val="10"/>
            <color indexed="14"/>
            <rFont val="Tahoma"/>
            <family val="2"/>
          </rPr>
          <t xml:space="preserve">The actual BAF should be defined by the Plot Radius Factor (PRF) that is used to check borderline trees (see part at bottom that calculates this). </t>
        </r>
        <r>
          <rPr>
            <sz val="10"/>
            <color indexed="81"/>
            <rFont val="Tahoma"/>
            <family val="2"/>
          </rPr>
          <t xml:space="preserve"> </t>
        </r>
        <r>
          <rPr>
            <i/>
            <sz val="10"/>
            <color indexed="81"/>
            <rFont val="Tahoma"/>
            <family val="2"/>
          </rPr>
          <t>If you do not check borderline trees,</t>
        </r>
        <r>
          <rPr>
            <sz val="10"/>
            <color indexed="81"/>
            <rFont val="Tahoma"/>
            <family val="2"/>
          </rPr>
          <t xml:space="preserve"> the BAF is this calibrated one, and it depends on the person using the angle guage, as well as the instrument.</t>
        </r>
      </text>
    </comment>
    <comment ref="K52" authorId="2" shapeId="0" xr:uid="{F857A993-22DA-4000-8657-E2572A60DCF7}">
      <text>
        <r>
          <rPr>
            <sz val="10"/>
            <color indexed="81"/>
            <rFont val="Tahoma"/>
            <family val="2"/>
          </rPr>
          <t xml:space="preserve">  </t>
        </r>
        <r>
          <rPr>
            <sz val="9"/>
            <color indexed="12"/>
            <rFont val="Tahoma"/>
            <family val="2"/>
          </rPr>
          <t>The gold cells are here in case you want to make any temporary calculations.</t>
        </r>
      </text>
    </comment>
    <comment ref="C53" authorId="0" shapeId="0" xr:uid="{1A4511AD-CCD2-4269-894A-6B52D7452279}">
      <text>
        <r>
          <rPr>
            <sz val="10"/>
            <color indexed="81"/>
            <rFont val="Tahoma"/>
            <family val="2"/>
          </rPr>
          <t xml:space="preserve">  Enter a </t>
        </r>
        <r>
          <rPr>
            <sz val="10"/>
            <color indexed="10"/>
            <rFont val="Tahoma"/>
            <family val="2"/>
          </rPr>
          <t>1</t>
        </r>
        <r>
          <rPr>
            <sz val="10"/>
            <color indexed="81"/>
            <rFont val="Tahoma"/>
            <family val="2"/>
          </rPr>
          <t xml:space="preserve"> if you are using a </t>
        </r>
        <r>
          <rPr>
            <sz val="10"/>
            <color indexed="10"/>
            <rFont val="Tahoma"/>
            <family val="2"/>
          </rPr>
          <t>flat</t>
        </r>
        <r>
          <rPr>
            <sz val="10"/>
            <color indexed="81"/>
            <rFont val="Tahoma"/>
            <family val="2"/>
          </rPr>
          <t xml:space="preserve"> target like a sheet of paper, and a </t>
        </r>
        <r>
          <rPr>
            <sz val="10"/>
            <color indexed="10"/>
            <rFont val="Tahoma"/>
            <family val="2"/>
          </rPr>
          <t>0</t>
        </r>
        <r>
          <rPr>
            <sz val="10"/>
            <color indexed="81"/>
            <rFont val="Tahoma"/>
            <family val="2"/>
          </rPr>
          <t xml:space="preserve"> if you are using a </t>
        </r>
        <r>
          <rPr>
            <sz val="10"/>
            <color indexed="10"/>
            <rFont val="Tahoma"/>
            <family val="2"/>
          </rPr>
          <t>cylinder</t>
        </r>
        <r>
          <rPr>
            <sz val="10"/>
            <color indexed="81"/>
            <rFont val="Tahoma"/>
            <family val="2"/>
          </rPr>
          <t xml:space="preserve"> as the target (easy to remember because a zero looks like a cylinder cross-section).
  This is a small correction, but you might as well use it. 
It matters with very large BAFs.</t>
        </r>
      </text>
    </comment>
    <comment ref="H53" authorId="0" shapeId="0" xr:uid="{18B183FD-854C-4C40-8CD3-713E620B412F}">
      <text>
        <r>
          <rPr>
            <i/>
            <sz val="10"/>
            <color indexed="81"/>
            <rFont val="Tahoma"/>
            <family val="2"/>
          </rPr>
          <t xml:space="preserve">This is the </t>
        </r>
        <r>
          <rPr>
            <i/>
            <u/>
            <sz val="10"/>
            <color indexed="81"/>
            <rFont val="Tahoma"/>
            <family val="2"/>
          </rPr>
          <t>metric</t>
        </r>
        <r>
          <rPr>
            <i/>
            <sz val="10"/>
            <color indexed="10"/>
            <rFont val="Tahoma"/>
            <family val="2"/>
          </rPr>
          <t xml:space="preserve"> Plot Radius Factor</t>
        </r>
        <r>
          <rPr>
            <i/>
            <sz val="10"/>
            <color indexed="81"/>
            <rFont val="Tahoma"/>
            <family val="2"/>
          </rPr>
          <t xml:space="preserve"> for a  BAF in cell F51, from the </t>
        </r>
        <r>
          <rPr>
            <b/>
            <i/>
            <sz val="10"/>
            <color indexed="81"/>
            <rFont val="Tahoma"/>
            <family val="2"/>
          </rPr>
          <t>CENTER</t>
        </r>
        <r>
          <rPr>
            <i/>
            <sz val="10"/>
            <color indexed="81"/>
            <rFont val="Tahoma"/>
            <family val="2"/>
          </rPr>
          <t xml:space="preserve"> of the tree in </t>
        </r>
        <r>
          <rPr>
            <i/>
            <sz val="10"/>
            <color indexed="10"/>
            <rFont val="Tahoma"/>
            <family val="2"/>
          </rPr>
          <t>metres per centimeter</t>
        </r>
        <r>
          <rPr>
            <i/>
            <sz val="10"/>
            <color indexed="81"/>
            <rFont val="Tahoma"/>
            <family val="2"/>
          </rPr>
          <t xml:space="preserve"> of DBH.</t>
        </r>
      </text>
    </comment>
    <comment ref="B55" authorId="0" shapeId="0" xr:uid="{8736D169-DCA8-4314-B1B2-74B6E0D5B491}">
      <text>
        <r>
          <rPr>
            <sz val="10"/>
            <color indexed="81"/>
            <rFont val="Tahoma"/>
            <family val="2"/>
          </rPr>
          <t xml:space="preserve">  If you want to compute the BAF from a particular Plot Radius Factor, this section will do that.   </t>
        </r>
        <r>
          <rPr>
            <sz val="10"/>
            <color indexed="10"/>
            <rFont val="Tahoma"/>
            <family val="2"/>
          </rPr>
          <t>Enter the Plot Radius Factor you might use here. Check the amount that rounding will change the BAF.</t>
        </r>
        <r>
          <rPr>
            <sz val="10"/>
            <color indexed="81"/>
            <rFont val="Tahoma"/>
            <family val="2"/>
          </rPr>
          <t xml:space="preserve">
</t>
        </r>
        <r>
          <rPr>
            <sz val="10"/>
            <color indexed="10"/>
            <rFont val="Tahoma"/>
            <family val="2"/>
          </rPr>
          <t>The way you check borderline trees determines the exact BAF that should be used in compilations.</t>
        </r>
        <r>
          <rPr>
            <sz val="10"/>
            <color indexed="81"/>
            <rFont val="Tahoma"/>
            <family val="2"/>
          </rPr>
          <t xml:space="preserve">   If you check them with the Plot Radius Factor, using a particular number of digits, this is how you should compute the BAF for compiling the data.
  If you determine borderline trees by eye, then you should calibrate the prism for yourself, since everyone views "borderline" a bit differently.  
</t>
        </r>
      </text>
    </comment>
    <comment ref="H55" authorId="0" shapeId="0" xr:uid="{5E51E2C1-3FF7-422F-9951-773AFF88177C}">
      <text>
        <r>
          <rPr>
            <sz val="10"/>
            <color indexed="10"/>
            <rFont val="Tahoma"/>
            <family val="2"/>
          </rPr>
          <t xml:space="preserve"> Enter the DBH in cm</t>
        </r>
        <r>
          <rPr>
            <sz val="10"/>
            <color indexed="81"/>
            <rFont val="Tahoma"/>
            <family val="2"/>
          </rPr>
          <t xml:space="preserve"> here (or in the cell below, and it will compute the "critical distance" where the tree is borderline.</t>
        </r>
      </text>
    </comment>
    <comment ref="D56" authorId="0" shapeId="0" xr:uid="{E24EC9C9-7FEB-49CD-BB5E-D80E408525D8}">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center</t>
        </r>
        <r>
          <rPr>
            <sz val="10"/>
            <color indexed="81"/>
            <rFont val="Tahoma"/>
            <family val="2"/>
          </rPr>
          <t xml:space="preserve"> of a tree in </t>
        </r>
        <r>
          <rPr>
            <sz val="10"/>
            <color indexed="10"/>
            <rFont val="Tahoma"/>
            <family val="2"/>
          </rPr>
          <t>Square metres / hectare.</t>
        </r>
      </text>
    </comment>
    <comment ref="E56" authorId="0" shapeId="0" xr:uid="{969724B8-77C0-4674-BB70-CA257EA46845}">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FACE</t>
        </r>
        <r>
          <rPr>
            <sz val="10"/>
            <color indexed="81"/>
            <rFont val="Tahoma"/>
            <family val="2"/>
          </rPr>
          <t xml:space="preserve"> of a tree in </t>
        </r>
        <r>
          <rPr>
            <sz val="10"/>
            <color indexed="10"/>
            <rFont val="Tahoma"/>
            <family val="2"/>
          </rPr>
          <t>Square metres per hectare.</t>
        </r>
      </text>
    </comment>
    <comment ref="G56" authorId="0" shapeId="0" xr:uid="{6D2FFF2B-8AD1-4A91-B6BC-4A786A7ED4D8}">
      <text>
        <r>
          <rPr>
            <sz val="10"/>
            <color indexed="81"/>
            <rFont val="Tahoma"/>
            <family val="2"/>
          </rPr>
          <t xml:space="preserve">  With the diameter (cell H55), and the BAF in this section (cell F51,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CENTER</t>
        </r>
        <r>
          <rPr>
            <sz val="10"/>
            <color indexed="81"/>
            <rFont val="Tahoma"/>
            <family val="2"/>
          </rPr>
          <t xml:space="preserve"> of tree to the edge of plot, in </t>
        </r>
        <r>
          <rPr>
            <sz val="10"/>
            <color indexed="10"/>
            <rFont val="Tahoma"/>
            <family val="2"/>
          </rPr>
          <t>meters.</t>
        </r>
        <r>
          <rPr>
            <sz val="10"/>
            <color indexed="81"/>
            <rFont val="Tahoma"/>
            <family val="2"/>
          </rPr>
          <t xml:space="preserve">
  ------------------------------
  You can also calculate exact Plot Radius Factors from  BAFs you enter in one of the section 6.</t>
        </r>
      </text>
    </comment>
    <comment ref="D57" authorId="1" shapeId="0" xr:uid="{797E3EB1-03F2-4C1B-8488-A96EAC63FA23}">
      <text>
        <r>
          <rPr>
            <sz val="9"/>
            <color indexed="81"/>
            <rFont val="Tahoma"/>
            <family val="2"/>
          </rPr>
          <t xml:space="preserve">Proportion of the BAF in cell I49
</t>
        </r>
      </text>
    </comment>
    <comment ref="E57" authorId="1" shapeId="0" xr:uid="{47E59354-0520-4A24-89F1-36E27CFCD3AF}">
      <text>
        <r>
          <rPr>
            <sz val="9"/>
            <color indexed="81"/>
            <rFont val="Tahoma"/>
            <family val="2"/>
          </rPr>
          <t xml:space="preserve">Proportion of the BAF in cell I49
</t>
        </r>
      </text>
    </comment>
    <comment ref="G57" authorId="0" shapeId="0" xr:uid="{20716E57-3CF7-46EE-ABF8-D2390AC47F56}">
      <text>
        <r>
          <rPr>
            <sz val="10"/>
            <color indexed="81"/>
            <rFont val="Tahoma"/>
            <family val="2"/>
          </rPr>
          <t xml:space="preserve">  With the diameter (cell H55), and the BAF in this section (cell F51,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FACE</t>
        </r>
        <r>
          <rPr>
            <sz val="10"/>
            <color indexed="81"/>
            <rFont val="Tahoma"/>
            <family val="2"/>
          </rPr>
          <t xml:space="preserve"> of tree to the edge of plot, in </t>
        </r>
        <r>
          <rPr>
            <sz val="10"/>
            <color indexed="10"/>
            <rFont val="Tahoma"/>
            <family val="2"/>
          </rPr>
          <t>meters.</t>
        </r>
        <r>
          <rPr>
            <sz val="10"/>
            <color indexed="81"/>
            <rFont val="Tahoma"/>
            <family val="2"/>
          </rPr>
          <t xml:space="preserve">
  ------------------------------
  You can also calculate exact Plot Radius Factors from  BAFs you enter in one of the section 6.</t>
        </r>
      </text>
    </comment>
    <comment ref="A60" authorId="1" shapeId="0" xr:uid="{3EAFE16E-ADFA-4BAE-8EBC-C251C88C8BF2}">
      <text>
        <r>
          <rPr>
            <sz val="10"/>
            <color indexed="81"/>
            <rFont val="Tahoma"/>
            <family val="2"/>
          </rPr>
          <t xml:space="preserve">This section allow you to calculate the values for a particular BAF you enter.
</t>
        </r>
      </text>
    </comment>
    <comment ref="B62" authorId="0" shapeId="0" xr:uid="{19EBB340-2C07-4427-9DE5-4CAAFE72605C}">
      <text>
        <r>
          <rPr>
            <sz val="10"/>
            <color indexed="81"/>
            <rFont val="Tahoma"/>
            <family val="2"/>
          </rPr>
          <t xml:space="preserve">  </t>
        </r>
        <r>
          <rPr>
            <sz val="10"/>
            <color indexed="10"/>
            <rFont val="Tahoma"/>
            <family val="2"/>
          </rPr>
          <t>Enter</t>
        </r>
        <r>
          <rPr>
            <sz val="10"/>
            <color indexed="81"/>
            <rFont val="Tahoma"/>
            <family val="2"/>
          </rPr>
          <t xml:space="preserve">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t>
        </r>
        <r>
          <rPr>
            <sz val="10"/>
            <color indexed="10"/>
            <rFont val="Tahoma"/>
            <family val="2"/>
          </rPr>
          <t xml:space="preserve">in square feet per acre.
</t>
        </r>
      </text>
    </comment>
    <comment ref="E62" authorId="0" shapeId="0" xr:uid="{EFAE19E6-8E4A-41D4-9017-A976E7D4F1CF}">
      <text>
        <r>
          <rPr>
            <sz val="10"/>
            <color indexed="81"/>
            <rFont val="Tahoma"/>
            <family val="2"/>
          </rPr>
          <t xml:space="preserve">  Enter any </t>
        </r>
        <r>
          <rPr>
            <sz val="10"/>
            <color indexed="10"/>
            <rFont val="Tahoma"/>
            <family val="2"/>
          </rPr>
          <t>DBH in inches</t>
        </r>
        <r>
          <rPr>
            <sz val="10"/>
            <color indexed="81"/>
            <rFont val="Tahoma"/>
            <family val="2"/>
          </rPr>
          <t xml:space="preserve"> for which you want a critical distance.</t>
        </r>
      </text>
    </comment>
    <comment ref="H63" authorId="0" shapeId="0" xr:uid="{F5828E02-9D42-43C0-ACF4-595E69C4B389}">
      <text>
        <r>
          <rPr>
            <sz val="10"/>
            <color indexed="81"/>
            <rFont val="Tahoma"/>
            <family val="2"/>
          </rPr>
          <t xml:space="preserve">  This is the </t>
        </r>
        <r>
          <rPr>
            <sz val="10"/>
            <color indexed="10"/>
            <rFont val="Tahoma"/>
            <family val="2"/>
          </rPr>
          <t xml:space="preserve">area of the plot </t>
        </r>
        <r>
          <rPr>
            <sz val="10"/>
            <color indexed="18"/>
            <rFont val="Tahoma"/>
            <family val="2"/>
          </rPr>
          <t>around that tree, in</t>
        </r>
        <r>
          <rPr>
            <sz val="10"/>
            <color indexed="81"/>
            <rFont val="Tahoma"/>
            <family val="2"/>
          </rPr>
          <t xml:space="preserve"> </t>
        </r>
        <r>
          <rPr>
            <sz val="10"/>
            <color indexed="10"/>
            <rFont val="Tahoma"/>
            <family val="2"/>
          </rPr>
          <t>acres,</t>
        </r>
        <r>
          <rPr>
            <sz val="10"/>
            <color indexed="81"/>
            <rFont val="Tahoma"/>
            <family val="2"/>
          </rPr>
          <t xml:space="preserve"> using the DBH and BAF entered.</t>
        </r>
      </text>
    </comment>
    <comment ref="K63" authorId="2" shapeId="0" xr:uid="{042A8C05-863B-4649-B218-4070C5879584}">
      <text>
        <r>
          <rPr>
            <sz val="10"/>
            <color indexed="81"/>
            <rFont val="Tahoma"/>
            <family val="2"/>
          </rPr>
          <t xml:space="preserve">  </t>
        </r>
        <r>
          <rPr>
            <sz val="9"/>
            <color indexed="12"/>
            <rFont val="Tahoma"/>
            <family val="2"/>
          </rPr>
          <t>The gold cell below is here in case you want to make any temporary calculations.</t>
        </r>
      </text>
    </comment>
    <comment ref="D65" authorId="0" shapeId="0" xr:uid="{7C593262-FBED-4855-80B7-34BD0178138B}">
      <text>
        <r>
          <rPr>
            <sz val="10"/>
            <color indexed="81"/>
            <rFont val="Tahoma"/>
            <family val="2"/>
          </rPr>
          <t xml:space="preserve">This is the "Blow-up" Factor of the ENGLISH BAF in cell </t>
        </r>
        <r>
          <rPr>
            <sz val="10"/>
            <color indexed="10"/>
            <rFont val="Tahoma"/>
            <family val="2"/>
          </rPr>
          <t>C62</t>
        </r>
        <r>
          <rPr>
            <sz val="10"/>
            <color indexed="81"/>
            <rFont val="Tahoma"/>
            <family val="2"/>
          </rPr>
          <t xml:space="preserve">.
This is the number of times larger the </t>
        </r>
        <r>
          <rPr>
            <sz val="10"/>
            <color indexed="10"/>
            <rFont val="Tahoma"/>
            <family val="2"/>
          </rPr>
          <t>area of the plot</t>
        </r>
        <r>
          <rPr>
            <sz val="10"/>
            <color indexed="81"/>
            <rFont val="Tahoma"/>
            <family val="2"/>
          </rPr>
          <t xml:space="preserve"> around the tree is than the basal area of </t>
        </r>
        <r>
          <rPr>
            <sz val="10"/>
            <color indexed="10"/>
            <rFont val="Tahoma"/>
            <family val="2"/>
          </rPr>
          <t>the tree</t>
        </r>
        <r>
          <rPr>
            <sz val="10"/>
            <color indexed="81"/>
            <rFont val="Tahoma"/>
            <family val="2"/>
          </rPr>
          <t xml:space="preserve"> itself.  It is constant for any particular angle used.</t>
        </r>
      </text>
    </comment>
    <comment ref="F65" authorId="0" shapeId="0" xr:uid="{406719BC-4C9C-4105-BF73-AC2CD8F1766F}">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that BAF, to the </t>
        </r>
        <r>
          <rPr>
            <u/>
            <sz val="10"/>
            <color indexed="10"/>
            <rFont val="Tahoma"/>
            <family val="2"/>
          </rPr>
          <t>center</t>
        </r>
        <r>
          <rPr>
            <sz val="10"/>
            <color indexed="81"/>
            <rFont val="Tahoma"/>
            <family val="2"/>
          </rPr>
          <t xml:space="preserve"> of the tree, in </t>
        </r>
        <r>
          <rPr>
            <sz val="10"/>
            <color indexed="10"/>
            <rFont val="Tahoma"/>
            <family val="2"/>
          </rPr>
          <t xml:space="preserve">feet per inch of DBH.
</t>
        </r>
        <r>
          <rPr>
            <sz val="10"/>
            <color indexed="18"/>
            <rFont val="Tahoma"/>
            <family val="2"/>
          </rPr>
          <t xml:space="preserve">  Note that the PRF to the </t>
        </r>
        <r>
          <rPr>
            <i/>
            <sz val="10"/>
            <color indexed="18"/>
            <rFont val="Tahoma"/>
            <family val="2"/>
          </rPr>
          <t>face</t>
        </r>
        <r>
          <rPr>
            <sz val="10"/>
            <color indexed="18"/>
            <rFont val="Tahoma"/>
            <family val="2"/>
          </rPr>
          <t xml:space="preserve"> of the tree is also computed in the cell below.</t>
        </r>
      </text>
    </comment>
    <comment ref="H65" authorId="0" shapeId="0" xr:uid="{DCB2ADDE-FFD4-4E2A-82F1-009422313D6C}">
      <text>
        <r>
          <rPr>
            <sz val="10"/>
            <color indexed="81"/>
            <rFont val="Tahoma"/>
            <family val="2"/>
          </rPr>
          <t xml:space="preserve">  This is the </t>
        </r>
        <r>
          <rPr>
            <sz val="10"/>
            <color indexed="10"/>
            <rFont val="Tahoma"/>
            <family val="2"/>
          </rPr>
          <t>"critical distance"</t>
        </r>
        <r>
          <rPr>
            <sz val="10"/>
            <color indexed="81"/>
            <rFont val="Tahoma"/>
            <family val="2"/>
          </rPr>
          <t xml:space="preserve"> from the </t>
        </r>
        <r>
          <rPr>
            <u/>
            <sz val="10"/>
            <color indexed="81"/>
            <rFont val="Tahoma"/>
            <family val="2"/>
          </rPr>
          <t>center</t>
        </r>
        <r>
          <rPr>
            <sz val="10"/>
            <color indexed="81"/>
            <rFont val="Tahoma"/>
            <family val="2"/>
          </rPr>
          <t xml:space="preserve"> of the tree to the edge of the plot around that tree, </t>
        </r>
        <r>
          <rPr>
            <sz val="10"/>
            <color indexed="10"/>
            <rFont val="Tahoma"/>
            <family val="2"/>
          </rPr>
          <t>in feet</t>
        </r>
        <r>
          <rPr>
            <sz val="10"/>
            <color indexed="81"/>
            <rFont val="Tahoma"/>
            <family val="2"/>
          </rPr>
          <t xml:space="preserve"> using the BAF and DBH given.</t>
        </r>
      </text>
    </comment>
    <comment ref="C66" authorId="2" shapeId="0" xr:uid="{03B207FD-FA87-46EB-96AE-FC3E1F23E65C}">
      <text>
        <r>
          <rPr>
            <sz val="10"/>
            <color indexed="81"/>
            <rFont val="Tahoma"/>
            <family val="2"/>
          </rPr>
          <t>This is the angle for the selection of the tree, in degrees, for the BAF you have entered.</t>
        </r>
      </text>
    </comment>
    <comment ref="F66" authorId="0" shapeId="0" xr:uid="{512AA747-A428-449B-A9D0-C32312467FFF}">
      <text>
        <r>
          <rPr>
            <sz val="10"/>
            <color indexed="81"/>
            <rFont val="Tahoma"/>
            <family val="2"/>
          </rPr>
          <t xml:space="preserve">  This is the </t>
        </r>
        <r>
          <rPr>
            <sz val="10"/>
            <color indexed="10"/>
            <rFont val="Tahoma"/>
            <family val="2"/>
          </rPr>
          <t>Plot Radius Factor,</t>
        </r>
        <r>
          <rPr>
            <sz val="10"/>
            <color indexed="81"/>
            <rFont val="Tahoma"/>
            <family val="2"/>
          </rPr>
          <t xml:space="preserve"> in </t>
        </r>
        <r>
          <rPr>
            <sz val="10"/>
            <color indexed="10"/>
            <rFont val="Tahoma"/>
            <family val="2"/>
          </rPr>
          <t>Feet per inch</t>
        </r>
        <r>
          <rPr>
            <sz val="10"/>
            <color indexed="81"/>
            <rFont val="Tahoma"/>
            <family val="2"/>
          </rPr>
          <t xml:space="preserve"> of DBH, from the </t>
        </r>
        <r>
          <rPr>
            <u/>
            <sz val="10"/>
            <color indexed="10"/>
            <rFont val="Tahoma"/>
            <family val="2"/>
          </rPr>
          <t>FACE</t>
        </r>
        <r>
          <rPr>
            <sz val="10"/>
            <color indexed="81"/>
            <rFont val="Tahoma"/>
            <family val="2"/>
          </rPr>
          <t xml:space="preserve"> of the tree to the edge of the plot around that tree.</t>
        </r>
      </text>
    </comment>
    <comment ref="H66" authorId="1" shapeId="0" xr:uid="{7847517C-9293-41D1-BA8B-7C9138A3BE94}">
      <text>
        <r>
          <rPr>
            <sz val="10"/>
            <color indexed="81"/>
            <rFont val="Tahoma"/>
            <family val="2"/>
          </rPr>
          <t xml:space="preserve">Distance from the </t>
        </r>
        <r>
          <rPr>
            <u/>
            <sz val="10"/>
            <color indexed="81"/>
            <rFont val="Tahoma"/>
            <family val="2"/>
          </rPr>
          <t>face</t>
        </r>
        <r>
          <rPr>
            <sz val="10"/>
            <color indexed="81"/>
            <rFont val="Tahoma"/>
            <family val="2"/>
          </rPr>
          <t xml:space="preserve"> of the tree.</t>
        </r>
      </text>
    </comment>
    <comment ref="A68" authorId="1" shapeId="0" xr:uid="{BA7A7BA3-3DB4-4F9B-B3DC-220EF2110600}">
      <text>
        <r>
          <rPr>
            <sz val="10"/>
            <color indexed="81"/>
            <rFont val="Tahoma"/>
            <family val="2"/>
          </rPr>
          <t>Same as 6e, but in metric units.</t>
        </r>
      </text>
    </comment>
    <comment ref="B69" authorId="0" shapeId="0" xr:uid="{7C76FE1D-13B7-4757-8253-5935D58DD88E}">
      <text>
        <r>
          <rPr>
            <sz val="10"/>
            <color indexed="81"/>
            <rFont val="Tahoma"/>
            <family val="2"/>
          </rPr>
          <t xml:space="preserve">  This is the </t>
        </r>
        <r>
          <rPr>
            <sz val="10"/>
            <color indexed="10"/>
            <rFont val="Tahoma"/>
            <family val="2"/>
          </rPr>
          <t>Metric BAF</t>
        </r>
        <r>
          <rPr>
            <sz val="10"/>
            <color indexed="81"/>
            <rFont val="Tahoma"/>
            <family val="2"/>
          </rPr>
          <t xml:space="preserve"> in square metres per hectare.  On the initial spreadsheet, it is computed from the English BAF (english/4.356).  If you consistently use the Metric BAF you might want to do the calculation in the reverse, or just leave it blank.</t>
        </r>
      </text>
    </comment>
    <comment ref="C69" authorId="0" shapeId="0" xr:uid="{C1128372-C964-465A-9E13-D3DED8845E4E}">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center</t>
        </r>
        <r>
          <rPr>
            <sz val="10"/>
            <color indexed="81"/>
            <rFont val="Tahoma"/>
            <family val="2"/>
          </rPr>
          <t xml:space="preserve"> of a tree in </t>
        </r>
        <r>
          <rPr>
            <sz val="10"/>
            <color indexed="10"/>
            <rFont val="Tahoma"/>
            <family val="2"/>
          </rPr>
          <t>Square metres / hectare.</t>
        </r>
      </text>
    </comment>
    <comment ref="E69" authorId="0" shapeId="0" xr:uid="{20D839D0-7BC0-44F5-9280-267B71D92A7C}">
      <text>
        <r>
          <rPr>
            <sz val="10"/>
            <color indexed="81"/>
            <rFont val="Tahoma"/>
            <family val="2"/>
          </rPr>
          <t xml:space="preserve">  Enter any </t>
        </r>
        <r>
          <rPr>
            <sz val="10"/>
            <color indexed="10"/>
            <rFont val="Tahoma"/>
            <family val="2"/>
          </rPr>
          <t>DBH in centimeters</t>
        </r>
        <r>
          <rPr>
            <sz val="10"/>
            <color indexed="81"/>
            <rFont val="Tahoma"/>
            <family val="2"/>
          </rPr>
          <t xml:space="preserve"> for which you want a critical distance.</t>
        </r>
      </text>
    </comment>
    <comment ref="H69" authorId="0" shapeId="0" xr:uid="{B2106059-DD3B-4D62-8034-D2AF5ED8DDB6}">
      <text>
        <r>
          <rPr>
            <sz val="10"/>
            <color indexed="81"/>
            <rFont val="Tahoma"/>
            <family val="2"/>
          </rPr>
          <t xml:space="preserve">  This is the </t>
        </r>
        <r>
          <rPr>
            <sz val="10"/>
            <color indexed="10"/>
            <rFont val="Tahoma"/>
            <family val="2"/>
          </rPr>
          <t>area of the plot</t>
        </r>
        <r>
          <rPr>
            <sz val="10"/>
            <color indexed="81"/>
            <rFont val="Tahoma"/>
            <family val="2"/>
          </rPr>
          <t xml:space="preserve"> around that tree, in </t>
        </r>
        <r>
          <rPr>
            <sz val="10"/>
            <color indexed="10"/>
            <rFont val="Tahoma"/>
            <family val="2"/>
          </rPr>
          <t>square metres,</t>
        </r>
        <r>
          <rPr>
            <sz val="10"/>
            <color indexed="81"/>
            <rFont val="Tahoma"/>
            <family val="2"/>
          </rPr>
          <t xml:space="preserve"> using the DBH and BAF entered.</t>
        </r>
      </text>
    </comment>
    <comment ref="H70" authorId="0" shapeId="0" xr:uid="{EF157E89-6495-4D17-A4C8-F106D63028B9}">
      <text>
        <r>
          <rPr>
            <sz val="10"/>
            <color indexed="81"/>
            <rFont val="Tahoma"/>
            <family val="2"/>
          </rPr>
          <t xml:space="preserve">  This is the </t>
        </r>
        <r>
          <rPr>
            <sz val="10"/>
            <color indexed="10"/>
            <rFont val="Tahoma"/>
            <family val="2"/>
          </rPr>
          <t>area of the plot</t>
        </r>
        <r>
          <rPr>
            <sz val="10"/>
            <color indexed="81"/>
            <rFont val="Tahoma"/>
            <family val="2"/>
          </rPr>
          <t xml:space="preserve"> around that tree, </t>
        </r>
        <r>
          <rPr>
            <sz val="10"/>
            <color indexed="10"/>
            <rFont val="Tahoma"/>
            <family val="2"/>
          </rPr>
          <t>in hectares,</t>
        </r>
        <r>
          <rPr>
            <sz val="10"/>
            <color indexed="81"/>
            <rFont val="Tahoma"/>
            <family val="2"/>
          </rPr>
          <t xml:space="preserve"> using the DBH and BAF entered.</t>
        </r>
      </text>
    </comment>
    <comment ref="K70" authorId="2" shapeId="0" xr:uid="{74B9EDF2-7FD2-42C5-8F61-5E93A530FFCC}">
      <text>
        <r>
          <rPr>
            <sz val="10"/>
            <color indexed="81"/>
            <rFont val="Tahoma"/>
            <family val="2"/>
          </rPr>
          <t xml:space="preserve">  </t>
        </r>
        <r>
          <rPr>
            <sz val="9"/>
            <color indexed="12"/>
            <rFont val="Tahoma"/>
            <family val="2"/>
          </rPr>
          <t>The gold cell below is here in case you want to make any temporary calculations.</t>
        </r>
      </text>
    </comment>
    <comment ref="D72" authorId="0" shapeId="0" xr:uid="{8DB0A81F-D5FC-4E5B-BB21-36FE2E4BFAE3}">
      <text>
        <r>
          <rPr>
            <sz val="10"/>
            <color indexed="81"/>
            <rFont val="Tahoma"/>
            <family val="2"/>
          </rPr>
          <t xml:space="preserve">This is the "Blow-up" Factor of the METRIC BAF in cell </t>
        </r>
        <r>
          <rPr>
            <sz val="10"/>
            <color indexed="10"/>
            <rFont val="Tahoma"/>
            <family val="2"/>
          </rPr>
          <t>C69</t>
        </r>
        <r>
          <rPr>
            <sz val="10"/>
            <color indexed="81"/>
            <rFont val="Tahoma"/>
            <family val="2"/>
          </rPr>
          <t xml:space="preserve">.
This is the number of times larger the </t>
        </r>
        <r>
          <rPr>
            <sz val="10"/>
            <color indexed="10"/>
            <rFont val="Tahoma"/>
            <family val="2"/>
          </rPr>
          <t>area of the plot</t>
        </r>
        <r>
          <rPr>
            <sz val="10"/>
            <color indexed="81"/>
            <rFont val="Tahoma"/>
            <family val="2"/>
          </rPr>
          <t xml:space="preserve"> around the tree is than the basal area of </t>
        </r>
        <r>
          <rPr>
            <sz val="10"/>
            <color indexed="10"/>
            <rFont val="Tahoma"/>
            <family val="2"/>
          </rPr>
          <t>the tree</t>
        </r>
        <r>
          <rPr>
            <sz val="10"/>
            <color indexed="81"/>
            <rFont val="Tahoma"/>
            <family val="2"/>
          </rPr>
          <t xml:space="preserve"> itself.  It is constant for any particular angle used.</t>
        </r>
      </text>
    </comment>
    <comment ref="F72" authorId="0" shapeId="0" xr:uid="{5E58C39F-F014-4E4D-AB5E-7C7A3B674CB4}">
      <text>
        <r>
          <rPr>
            <sz val="10"/>
            <color indexed="81"/>
            <rFont val="Tahoma"/>
            <family val="2"/>
          </rPr>
          <t xml:space="preserve">This is the </t>
        </r>
        <r>
          <rPr>
            <u/>
            <sz val="10"/>
            <color indexed="81"/>
            <rFont val="Tahoma"/>
            <family val="2"/>
          </rPr>
          <t>Metric</t>
        </r>
        <r>
          <rPr>
            <sz val="10"/>
            <color indexed="81"/>
            <rFont val="Tahoma"/>
            <family val="2"/>
          </rPr>
          <t xml:space="preserve"> </t>
        </r>
        <r>
          <rPr>
            <sz val="10"/>
            <color indexed="10"/>
            <rFont val="Tahoma"/>
            <family val="2"/>
          </rPr>
          <t>Plot Radius Factor</t>
        </r>
        <r>
          <rPr>
            <sz val="10"/>
            <color indexed="81"/>
            <rFont val="Tahoma"/>
            <family val="2"/>
          </rPr>
          <t xml:space="preserve"> for that BAF, to the </t>
        </r>
        <r>
          <rPr>
            <u/>
            <sz val="10"/>
            <color indexed="10"/>
            <rFont val="Tahoma"/>
            <family val="2"/>
          </rPr>
          <t>center</t>
        </r>
        <r>
          <rPr>
            <sz val="10"/>
            <color indexed="81"/>
            <rFont val="Tahoma"/>
            <family val="2"/>
          </rPr>
          <t xml:space="preserve"> of the tree, in </t>
        </r>
        <r>
          <rPr>
            <sz val="10"/>
            <color indexed="10"/>
            <rFont val="Tahoma"/>
            <family val="2"/>
          </rPr>
          <t>metres per centimeter</t>
        </r>
        <r>
          <rPr>
            <sz val="10"/>
            <color indexed="81"/>
            <rFont val="Tahoma"/>
            <family val="2"/>
          </rPr>
          <t xml:space="preserve"> of DBH.
  Note that the PRF to the </t>
        </r>
        <r>
          <rPr>
            <i/>
            <sz val="10"/>
            <color indexed="81"/>
            <rFont val="Tahoma"/>
            <family val="2"/>
          </rPr>
          <t>face</t>
        </r>
        <r>
          <rPr>
            <sz val="10"/>
            <color indexed="81"/>
            <rFont val="Tahoma"/>
            <family val="2"/>
          </rPr>
          <t xml:space="preserve"> of the tree is also computed in the </t>
        </r>
        <r>
          <rPr>
            <i/>
            <sz val="10"/>
            <color indexed="81"/>
            <rFont val="Tahoma"/>
            <family val="2"/>
          </rPr>
          <t>cell below.</t>
        </r>
      </text>
    </comment>
    <comment ref="H72" authorId="0" shapeId="0" xr:uid="{7974E437-086C-4BCC-95AD-7DC11DDBC021}">
      <text>
        <r>
          <rPr>
            <sz val="10"/>
            <color indexed="81"/>
            <rFont val="Tahoma"/>
            <family val="2"/>
          </rPr>
          <t xml:space="preserve">  This is the </t>
        </r>
        <r>
          <rPr>
            <sz val="10"/>
            <color indexed="10"/>
            <rFont val="Tahoma"/>
            <family val="2"/>
          </rPr>
          <t>"critical distance"</t>
        </r>
        <r>
          <rPr>
            <sz val="10"/>
            <color indexed="81"/>
            <rFont val="Tahoma"/>
            <family val="2"/>
          </rPr>
          <t xml:space="preserve"> from the </t>
        </r>
        <r>
          <rPr>
            <u/>
            <sz val="10"/>
            <color indexed="81"/>
            <rFont val="Tahoma"/>
            <family val="2"/>
          </rPr>
          <t>center</t>
        </r>
        <r>
          <rPr>
            <sz val="10"/>
            <color indexed="81"/>
            <rFont val="Tahoma"/>
            <family val="2"/>
          </rPr>
          <t xml:space="preserve"> of the tree to the edge of the plot around that tree, </t>
        </r>
        <r>
          <rPr>
            <sz val="10"/>
            <color indexed="10"/>
            <rFont val="Tahoma"/>
            <family val="2"/>
          </rPr>
          <t>in metres,</t>
        </r>
        <r>
          <rPr>
            <sz val="10"/>
            <color indexed="81"/>
            <rFont val="Tahoma"/>
            <family val="2"/>
          </rPr>
          <t xml:space="preserve"> using the BAF and DBH given.</t>
        </r>
      </text>
    </comment>
    <comment ref="B73" authorId="2" shapeId="0" xr:uid="{ED0C6FC1-29E0-4741-8377-BFC3DC31B9E9}">
      <text>
        <r>
          <rPr>
            <sz val="10"/>
            <color indexed="81"/>
            <rFont val="Tahoma"/>
            <family val="2"/>
          </rPr>
          <t>This is the angle for the selection of the tree, in degrees, for the BAF you have entered.</t>
        </r>
      </text>
    </comment>
    <comment ref="F73" authorId="0" shapeId="0" xr:uid="{6CEF17CE-A03A-4A19-BCDF-BEE7D89B40AE}">
      <text>
        <r>
          <rPr>
            <i/>
            <sz val="10"/>
            <color indexed="81"/>
            <rFont val="Tahoma"/>
            <family val="2"/>
          </rPr>
          <t xml:space="preserve">  This is the </t>
        </r>
        <r>
          <rPr>
            <i/>
            <sz val="10"/>
            <color indexed="10"/>
            <rFont val="Tahoma"/>
            <family val="2"/>
          </rPr>
          <t>Plot Radius Factor,</t>
        </r>
        <r>
          <rPr>
            <i/>
            <sz val="10"/>
            <color indexed="81"/>
            <rFont val="Tahoma"/>
            <family val="2"/>
          </rPr>
          <t xml:space="preserve"> in </t>
        </r>
        <r>
          <rPr>
            <i/>
            <sz val="10"/>
            <color indexed="10"/>
            <rFont val="Tahoma"/>
            <family val="2"/>
          </rPr>
          <t>Meters per cm</t>
        </r>
        <r>
          <rPr>
            <i/>
            <sz val="10"/>
            <color indexed="81"/>
            <rFont val="Tahoma"/>
            <family val="2"/>
          </rPr>
          <t xml:space="preserve"> of DBH, from the </t>
        </r>
        <r>
          <rPr>
            <i/>
            <u/>
            <sz val="10"/>
            <color indexed="10"/>
            <rFont val="Tahoma"/>
            <family val="2"/>
          </rPr>
          <t>FACE</t>
        </r>
        <r>
          <rPr>
            <i/>
            <sz val="10"/>
            <color indexed="81"/>
            <rFont val="Tahoma"/>
            <family val="2"/>
          </rPr>
          <t xml:space="preserve"> of the tree to the edge of the plot around that tree.</t>
        </r>
      </text>
    </comment>
    <comment ref="H73" authorId="1" shapeId="0" xr:uid="{F6868F9B-2770-4361-A8B5-C02F57970540}">
      <text>
        <r>
          <rPr>
            <sz val="10"/>
            <color indexed="81"/>
            <rFont val="Tahoma"/>
            <family val="2"/>
          </rPr>
          <t xml:space="preserve">Distance from the </t>
        </r>
        <r>
          <rPr>
            <u/>
            <sz val="10"/>
            <color indexed="81"/>
            <rFont val="Tahoma"/>
            <family val="2"/>
          </rPr>
          <t>face</t>
        </r>
        <r>
          <rPr>
            <sz val="10"/>
            <color indexed="81"/>
            <rFont val="Tahoma"/>
            <family val="2"/>
          </rPr>
          <t xml:space="preserve"> of the tree.</t>
        </r>
      </text>
    </comment>
    <comment ref="A76" authorId="1" shapeId="0" xr:uid="{492949F3-498F-4876-A3AA-ECED2350E8CF}">
      <text>
        <r>
          <rPr>
            <sz val="10"/>
            <color indexed="81"/>
            <rFont val="Tahoma"/>
            <family val="2"/>
          </rPr>
          <t>If your computer printout does not give you the CV for VBAR, this is a way to estimate it from the CVs for basal area and total volume.</t>
        </r>
      </text>
    </comment>
    <comment ref="B77" authorId="0" shapeId="0" xr:uid="{B7EB49A3-D84A-4A95-88BA-BE89ADA9766D}">
      <text>
        <r>
          <rPr>
            <sz val="10"/>
            <color indexed="81"/>
            <rFont val="Tahoma"/>
            <family val="2"/>
          </rPr>
          <t xml:space="preserve">  In some compilation programs you do not get the CVs needed for proper cruise planning.  If you get the </t>
        </r>
        <r>
          <rPr>
            <sz val="10"/>
            <color indexed="10"/>
            <rFont val="Tahoma"/>
            <family val="2"/>
          </rPr>
          <t>SE% for the basal area</t>
        </r>
        <r>
          <rPr>
            <sz val="10"/>
            <color indexed="81"/>
            <rFont val="Tahoma"/>
            <family val="2"/>
          </rPr>
          <t xml:space="preserve"> </t>
        </r>
        <r>
          <rPr>
            <u/>
            <sz val="10"/>
            <color indexed="81"/>
            <rFont val="Tahoma"/>
            <family val="2"/>
          </rPr>
          <t>and</t>
        </r>
        <r>
          <rPr>
            <sz val="10"/>
            <color indexed="81"/>
            <rFont val="Tahoma"/>
            <family val="2"/>
          </rPr>
          <t xml:space="preserve"> the </t>
        </r>
        <r>
          <rPr>
            <sz val="10"/>
            <color indexed="10"/>
            <rFont val="Tahoma"/>
            <family val="2"/>
          </rPr>
          <t>total SE%,</t>
        </r>
        <r>
          <rPr>
            <sz val="10"/>
            <color indexed="18"/>
            <rFont val="Tahoma"/>
            <family val="2"/>
          </rPr>
          <t xml:space="preserve"> the CV for the *BAR can be </t>
        </r>
        <r>
          <rPr>
            <u/>
            <sz val="10"/>
            <color indexed="18"/>
            <rFont val="Tahoma"/>
            <family val="2"/>
          </rPr>
          <t>roughly</t>
        </r>
        <r>
          <rPr>
            <sz val="10"/>
            <color indexed="18"/>
            <rFont val="Tahoma"/>
            <family val="2"/>
          </rPr>
          <t xml:space="preserve"> approximated using this section.</t>
        </r>
      </text>
    </comment>
    <comment ref="B78" authorId="0" shapeId="0" xr:uid="{27E1D17B-F6BF-44BE-BED4-14EE2EC1FABF}">
      <text>
        <r>
          <rPr>
            <sz val="10"/>
            <color indexed="10"/>
            <rFont val="Tahoma"/>
            <family val="2"/>
          </rPr>
          <t xml:space="preserve">  Enter the SE%</t>
        </r>
        <r>
          <rPr>
            <sz val="10"/>
            <color indexed="81"/>
            <rFont val="Tahoma"/>
            <family val="2"/>
          </rPr>
          <t xml:space="preserve"> for the Basal Area from the compilation results.</t>
        </r>
      </text>
    </comment>
    <comment ref="D78" authorId="0" shapeId="0" xr:uid="{3EA304C7-756D-4FF3-B0F0-710585DC7C25}">
      <text>
        <r>
          <rPr>
            <sz val="10"/>
            <color indexed="10"/>
            <rFont val="Tahoma"/>
            <family val="2"/>
          </rPr>
          <t xml:space="preserve">  </t>
        </r>
        <r>
          <rPr>
            <u/>
            <sz val="10"/>
            <color indexed="10"/>
            <rFont val="Tahoma"/>
            <family val="2"/>
          </rPr>
          <t>Enter</t>
        </r>
        <r>
          <rPr>
            <sz val="10"/>
            <color indexed="10"/>
            <rFont val="Tahoma"/>
            <family val="2"/>
          </rPr>
          <t xml:space="preserve"> the number of sample points</t>
        </r>
        <r>
          <rPr>
            <sz val="10"/>
            <color indexed="81"/>
            <rFont val="Tahoma"/>
            <family val="2"/>
          </rPr>
          <t xml:space="preserve"> for the cruise.</t>
        </r>
      </text>
    </comment>
    <comment ref="G78" authorId="0" shapeId="0" xr:uid="{85B7CAD1-CDE7-4D73-B468-2110A9FD24FE}">
      <text>
        <r>
          <rPr>
            <sz val="10"/>
            <color indexed="81"/>
            <rFont val="Tahoma"/>
            <family val="2"/>
          </rPr>
          <t xml:space="preserve">This is a  </t>
        </r>
        <r>
          <rPr>
            <u/>
            <sz val="10"/>
            <color indexed="81"/>
            <rFont val="Tahoma"/>
            <family val="2"/>
          </rPr>
          <t>correct</t>
        </r>
        <r>
          <rPr>
            <sz val="10"/>
            <color indexed="81"/>
            <rFont val="Tahoma"/>
            <family val="2"/>
          </rPr>
          <t xml:space="preserve"> estimate for the </t>
        </r>
        <r>
          <rPr>
            <sz val="10"/>
            <color indexed="10"/>
            <rFont val="Tahoma"/>
            <family val="2"/>
          </rPr>
          <t>CV of the Basal Area.</t>
        </r>
      </text>
    </comment>
    <comment ref="B79" authorId="0" shapeId="0" xr:uid="{04E8EC39-AD21-48FF-9A5E-280EDAA623CD}">
      <text>
        <r>
          <rPr>
            <sz val="10"/>
            <color indexed="10"/>
            <rFont val="Tahoma"/>
            <family val="2"/>
          </rPr>
          <t xml:space="preserve"> </t>
        </r>
        <r>
          <rPr>
            <u/>
            <sz val="10"/>
            <color indexed="10"/>
            <rFont val="Tahoma"/>
            <family val="2"/>
          </rPr>
          <t>Implied</t>
        </r>
        <r>
          <rPr>
            <sz val="10"/>
            <color indexed="10"/>
            <rFont val="Tahoma"/>
            <family val="2"/>
          </rPr>
          <t xml:space="preserve"> SE%</t>
        </r>
        <r>
          <rPr>
            <sz val="10"/>
            <color indexed="81"/>
            <rFont val="Tahoma"/>
            <family val="2"/>
          </rPr>
          <t xml:space="preserve"> for the *BAR portion of the compilation results.</t>
        </r>
      </text>
    </comment>
    <comment ref="D79" authorId="0" shapeId="0" xr:uid="{23AC9C37-55BF-42CB-9A78-1024F53270F7}">
      <text>
        <r>
          <rPr>
            <sz val="10"/>
            <color indexed="81"/>
            <rFont val="Tahoma"/>
            <family val="2"/>
          </rPr>
          <t xml:space="preserve">  </t>
        </r>
        <r>
          <rPr>
            <u/>
            <sz val="10"/>
            <color indexed="10"/>
            <rFont val="Tahoma"/>
            <family val="2"/>
          </rPr>
          <t>Enter</t>
        </r>
        <r>
          <rPr>
            <sz val="10"/>
            <color indexed="10"/>
            <rFont val="Tahoma"/>
            <family val="2"/>
          </rPr>
          <t xml:space="preserve"> the number of trees</t>
        </r>
        <r>
          <rPr>
            <sz val="10"/>
            <color indexed="81"/>
            <rFont val="Tahoma"/>
            <family val="2"/>
          </rPr>
          <t xml:space="preserve"> to compute the CV of the *BAR for individual trees.
  You can also enter the number of </t>
        </r>
        <r>
          <rPr>
            <i/>
            <sz val="10"/>
            <color indexed="81"/>
            <rFont val="Tahoma"/>
            <family val="2"/>
          </rPr>
          <t>sample points</t>
        </r>
        <r>
          <rPr>
            <sz val="10"/>
            <color indexed="81"/>
            <rFont val="Tahoma"/>
            <family val="2"/>
          </rPr>
          <t xml:space="preserve"> to estimate the </t>
        </r>
        <r>
          <rPr>
            <i/>
            <sz val="10"/>
            <color indexed="81"/>
            <rFont val="Tahoma"/>
            <family val="2"/>
          </rPr>
          <t>CV of the average *BAR for clusters.</t>
        </r>
      </text>
    </comment>
    <comment ref="G79" authorId="0" shapeId="0" xr:uid="{47C93097-82F8-434F-A8ED-F7E9D2C93C80}">
      <text>
        <r>
          <rPr>
            <sz val="10"/>
            <color indexed="81"/>
            <rFont val="Tahoma"/>
            <family val="2"/>
          </rPr>
          <t xml:space="preserve">  This is only a </t>
        </r>
        <r>
          <rPr>
            <u/>
            <sz val="10"/>
            <color indexed="10"/>
            <rFont val="Tahoma"/>
            <family val="2"/>
          </rPr>
          <t>rough</t>
        </r>
        <r>
          <rPr>
            <sz val="10"/>
            <color indexed="10"/>
            <rFont val="Tahoma"/>
            <family val="2"/>
          </rPr>
          <t xml:space="preserve"> approximation of the CV for *BAR.</t>
        </r>
        <r>
          <rPr>
            <sz val="10"/>
            <color indexed="81"/>
            <rFont val="Tahoma"/>
            <family val="2"/>
          </rPr>
          <t xml:space="preserve">  
  It is probably better to get this by processing some volumes and values for individual trees from the cruise.  Use any volume table that uses DBH and Ht for this, since the values are relative.</t>
        </r>
      </text>
    </comment>
    <comment ref="B80" authorId="0" shapeId="0" xr:uid="{C197F1FD-92D4-4F75-AC29-ED9DDFB38409}">
      <text>
        <r>
          <rPr>
            <sz val="10"/>
            <color indexed="81"/>
            <rFont val="Tahoma"/>
            <family val="2"/>
          </rPr>
          <t xml:space="preserve">  </t>
        </r>
        <r>
          <rPr>
            <sz val="10"/>
            <color indexed="10"/>
            <rFont val="Tahoma"/>
            <family val="2"/>
          </rPr>
          <t>Enter the SE% for the Total volume (or total value)</t>
        </r>
        <r>
          <rPr>
            <sz val="10"/>
            <color indexed="81"/>
            <rFont val="Tahoma"/>
            <family val="2"/>
          </rPr>
          <t xml:space="preserve">  from the compilation results.  
  If you enter SE% for </t>
        </r>
        <r>
          <rPr>
            <u/>
            <sz val="10"/>
            <color indexed="81"/>
            <rFont val="Tahoma"/>
            <family val="2"/>
          </rPr>
          <t>volume,</t>
        </r>
        <r>
          <rPr>
            <sz val="10"/>
            <color indexed="81"/>
            <rFont val="Tahoma"/>
            <family val="2"/>
          </rPr>
          <t xml:space="preserve"> the </t>
        </r>
        <r>
          <rPr>
            <sz val="10"/>
            <color indexed="10"/>
            <rFont val="Tahoma"/>
            <family val="2"/>
          </rPr>
          <t>CV of the VBAR</t>
        </r>
        <r>
          <rPr>
            <sz val="10"/>
            <color indexed="81"/>
            <rFont val="Tahoma"/>
            <family val="2"/>
          </rPr>
          <t xml:space="preserve"> will be estimated (net or gross).
  If you enter SE% for </t>
        </r>
        <r>
          <rPr>
            <u/>
            <sz val="10"/>
            <color indexed="81"/>
            <rFont val="Tahoma"/>
            <family val="2"/>
          </rPr>
          <t>value,</t>
        </r>
        <r>
          <rPr>
            <sz val="10"/>
            <color indexed="81"/>
            <rFont val="Tahoma"/>
            <family val="2"/>
          </rPr>
          <t xml:space="preserve"> then the </t>
        </r>
        <r>
          <rPr>
            <sz val="10"/>
            <color indexed="10"/>
            <rFont val="Tahoma"/>
            <family val="2"/>
          </rPr>
          <t>CV of the $BAR</t>
        </r>
        <r>
          <rPr>
            <sz val="10"/>
            <color indexed="81"/>
            <rFont val="Tahoma"/>
            <family val="2"/>
          </rPr>
          <t xml:space="preserve"> will be estimated.
    </t>
        </r>
      </text>
    </comment>
    <comment ref="A82" authorId="1" shapeId="0" xr:uid="{FFA39350-1008-4206-8AFC-0B882E7C644E}">
      <text>
        <r>
          <rPr>
            <sz val="10"/>
            <color indexed="81"/>
            <rFont val="Tahoma"/>
            <family val="2"/>
          </rPr>
          <t xml:space="preserve">If you want to use your </t>
        </r>
        <r>
          <rPr>
            <b/>
            <sz val="10"/>
            <color indexed="81"/>
            <rFont val="Tahoma"/>
            <family val="2"/>
          </rPr>
          <t>ratio</t>
        </r>
        <r>
          <rPr>
            <sz val="10"/>
            <color indexed="81"/>
            <rFont val="Tahoma"/>
            <family val="2"/>
          </rPr>
          <t xml:space="preserve"> from cell C15/16 in section 2, if you wanted to get your </t>
        </r>
        <r>
          <rPr>
            <b/>
            <sz val="10"/>
            <color indexed="81"/>
            <rFont val="Tahoma"/>
            <family val="2"/>
          </rPr>
          <t xml:space="preserve">desired SE% </t>
        </r>
        <r>
          <rPr>
            <sz val="10"/>
            <color indexed="81"/>
            <rFont val="Tahoma"/>
            <family val="2"/>
          </rPr>
          <t>from cell D9, this is how you could get it efficiently.</t>
        </r>
        <r>
          <rPr>
            <sz val="9"/>
            <color indexed="81"/>
            <rFont val="Tahoma"/>
            <family val="2"/>
          </rPr>
          <t xml:space="preserve">
</t>
        </r>
      </text>
    </comment>
    <comment ref="A96" authorId="1" shapeId="0" xr:uid="{6D042173-ED7A-4E88-9B3F-683457147899}">
      <text>
        <r>
          <rPr>
            <sz val="10"/>
            <color indexed="81"/>
            <rFont val="Tahoma"/>
            <family val="2"/>
          </rPr>
          <t>One way to create a large BAF is to combine the strength of 2 ordinary prisms.  This is the resulting BAF from 2 prisms you choose to use (English or Metric)</t>
        </r>
      </text>
    </comment>
    <comment ref="I97" authorId="2" shapeId="0" xr:uid="{96BA3AA0-0101-480D-BA93-048A87A455AC}">
      <text>
        <r>
          <rPr>
            <sz val="9"/>
            <color indexed="81"/>
            <rFont val="Tahoma"/>
            <family val="2"/>
          </rPr>
          <t xml:space="preserve">  This is the combined BAF for the 2 prisms together.  
   You can use section 5 to compute the arm lengths for a "stick" angle gauge to make large BAFs.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 Iles &amp; Associates Ltd.</author>
    <author xml:space="preserve">Kim Iles </author>
    <author>*</author>
    <author>Kim Iles &amp; Associates</author>
    <author>Kim Iles</author>
  </authors>
  <commentList>
    <comment ref="B1" authorId="0" shapeId="0" xr:uid="{A46D133C-CB6E-4584-BB77-20284BC91C0A}">
      <text>
        <r>
          <rPr>
            <sz val="10"/>
            <color indexed="81"/>
            <rFont val="Tahoma"/>
            <family val="2"/>
          </rPr>
          <t xml:space="preserve">   This section (#1) computes the </t>
        </r>
        <r>
          <rPr>
            <sz val="10"/>
            <color indexed="10"/>
            <rFont val="Tahoma"/>
            <family val="2"/>
          </rPr>
          <t>optimal ratio</t>
        </r>
        <r>
          <rPr>
            <sz val="10"/>
            <color indexed="81"/>
            <rFont val="Tahoma"/>
            <family val="2"/>
          </rPr>
          <t xml:space="preserve"> and number for </t>
        </r>
        <r>
          <rPr>
            <sz val="10"/>
            <color indexed="10"/>
            <rFont val="Tahoma"/>
            <family val="2"/>
          </rPr>
          <t>"count plots" vs. "Measurements"</t>
        </r>
        <r>
          <rPr>
            <sz val="10"/>
            <color indexed="81"/>
            <rFont val="Tahoma"/>
            <family val="2"/>
          </rPr>
          <t xml:space="preserve"> (usually, measured trees)
   This may not be the current version of the spreadsheet (see about *BAR, cell E20).  The spreadsheet has </t>
        </r>
        <r>
          <rPr>
            <u/>
            <sz val="10"/>
            <color indexed="81"/>
            <rFont val="Tahoma"/>
            <family val="2"/>
          </rPr>
          <t>no</t>
        </r>
        <r>
          <rPr>
            <sz val="10"/>
            <color indexed="81"/>
            <rFont val="Tahoma"/>
            <family val="2"/>
          </rPr>
          <t xml:space="preserve"> macros.</t>
        </r>
      </text>
    </comment>
    <comment ref="N1" authorId="0" shapeId="0" xr:uid="{2330EBB3-9306-4E83-A812-36A39545768B}">
      <text>
        <r>
          <rPr>
            <sz val="10"/>
            <color indexed="81"/>
            <rFont val="Tahoma"/>
            <family val="2"/>
          </rPr>
          <t xml:space="preserve">  This is the </t>
        </r>
        <r>
          <rPr>
            <sz val="10"/>
            <color indexed="10"/>
            <rFont val="Tahoma"/>
            <family val="2"/>
          </rPr>
          <t>midpoint interval</t>
        </r>
        <r>
          <rPr>
            <sz val="10"/>
            <color indexed="81"/>
            <rFont val="Tahoma"/>
            <family val="2"/>
          </rPr>
          <t xml:space="preserve"> for displaying data on some of the graphs.  It is copied from cell B11, but </t>
        </r>
        <r>
          <rPr>
            <sz val="10"/>
            <color indexed="10"/>
            <rFont val="Tahoma"/>
            <family val="2"/>
          </rPr>
          <t xml:space="preserve">you can change the midpoint </t>
        </r>
        <r>
          <rPr>
            <sz val="10"/>
            <color indexed="18"/>
            <rFont val="Tahoma"/>
            <family val="2"/>
          </rPr>
          <t xml:space="preserve">by </t>
        </r>
        <r>
          <rPr>
            <sz val="10"/>
            <color indexed="81"/>
            <rFont val="Tahoma"/>
            <family val="2"/>
          </rPr>
          <t xml:space="preserve">using the increment in cell L2.  If you put in -20, the midpoint will be shifted down to 20. </t>
        </r>
      </text>
    </comment>
    <comment ref="P1" authorId="0" shapeId="0" xr:uid="{73C3D873-75E3-49C3-A3DA-8CA45EA195E5}">
      <text>
        <r>
          <rPr>
            <sz val="10"/>
            <color indexed="81"/>
            <rFont val="Tahoma"/>
            <family val="2"/>
          </rPr>
          <t xml:space="preserve">  This is the interval for the tree count numbers displayed in column I, 6-24.  </t>
        </r>
        <r>
          <rPr>
            <sz val="10"/>
            <color indexed="10"/>
            <rFont val="Tahoma"/>
            <family val="2"/>
          </rPr>
          <t>Enter the interval you want to use.</t>
        </r>
      </text>
    </comment>
    <comment ref="U1" authorId="0" shapeId="0" xr:uid="{89211072-A856-4C58-AEC9-B6CC221A7157}">
      <text>
        <r>
          <rPr>
            <sz val="10"/>
            <color indexed="81"/>
            <rFont val="Tahoma"/>
            <family val="2"/>
          </rPr>
          <t xml:space="preserve">  This is the </t>
        </r>
        <r>
          <rPr>
            <u/>
            <sz val="10"/>
            <color indexed="81"/>
            <rFont val="Tahoma"/>
            <family val="2"/>
          </rPr>
          <t>midpoint</t>
        </r>
        <r>
          <rPr>
            <sz val="10"/>
            <color indexed="81"/>
            <rFont val="Tahoma"/>
            <family val="2"/>
          </rPr>
          <t xml:space="preserve"> for the SE% (in cell Q15) and this range is displayed on some of the graphs in the Graph Worksheet.  
  </t>
        </r>
        <r>
          <rPr>
            <sz val="10"/>
            <color indexed="10"/>
            <rFont val="Tahoma"/>
            <family val="2"/>
          </rPr>
          <t>Enter the midpoint you want to use.</t>
        </r>
      </text>
    </comment>
    <comment ref="X1" authorId="0" shapeId="0" xr:uid="{F195CC6D-0751-499E-81DE-F54630EADEB5}">
      <text>
        <r>
          <rPr>
            <sz val="10"/>
            <color indexed="81"/>
            <rFont val="Tahoma"/>
            <family val="2"/>
          </rPr>
          <t xml:space="preserve">  This the increment for the range in column Q.  This is displayed on the graphs, and you may want a different increment (especially if it goes negative.
  </t>
        </r>
        <r>
          <rPr>
            <sz val="10"/>
            <color indexed="10"/>
            <rFont val="Tahoma"/>
            <family val="2"/>
          </rPr>
          <t>Enter the increment you want to use.</t>
        </r>
      </text>
    </comment>
    <comment ref="M2" authorId="0" shapeId="0" xr:uid="{0DF686AB-384E-4A95-B49A-4CCAB2389452}">
      <text>
        <r>
          <rPr>
            <sz val="10"/>
            <color indexed="81"/>
            <rFont val="Tahoma"/>
            <family val="2"/>
          </rPr>
          <t xml:space="preserve">  This will change the </t>
        </r>
        <r>
          <rPr>
            <u/>
            <sz val="10"/>
            <color indexed="81"/>
            <rFont val="Tahoma"/>
            <family val="2"/>
          </rPr>
          <t>starting point</t>
        </r>
        <r>
          <rPr>
            <sz val="10"/>
            <color indexed="81"/>
            <rFont val="Tahoma"/>
            <family val="2"/>
          </rPr>
          <t xml:space="preserve"> of the number of tree counts in cell I15.  </t>
        </r>
        <r>
          <rPr>
            <sz val="10"/>
            <color indexed="10"/>
            <rFont val="Tahoma"/>
            <family val="2"/>
          </rPr>
          <t>Enter the change you want to apply to the starting point.</t>
        </r>
      </text>
    </comment>
    <comment ref="B3" authorId="0" shapeId="0" xr:uid="{EE17EB0F-3F04-4893-A677-C2CC8303F28A}">
      <text>
        <r>
          <rPr>
            <sz val="10"/>
            <color indexed="81"/>
            <rFont val="Tahoma"/>
            <family val="2"/>
          </rPr>
          <t xml:space="preserve">  This is the </t>
        </r>
        <r>
          <rPr>
            <sz val="10"/>
            <color indexed="10"/>
            <rFont val="Tahoma"/>
            <family val="2"/>
          </rPr>
          <t>CV of the TREE COUNT</t>
        </r>
        <r>
          <rPr>
            <sz val="10"/>
            <color indexed="81"/>
            <rFont val="Tahoma"/>
            <family val="2"/>
          </rPr>
          <t xml:space="preserve"> </t>
        </r>
        <r>
          <rPr>
            <sz val="10"/>
            <color indexed="10"/>
            <rFont val="Tahoma"/>
            <family val="2"/>
          </rPr>
          <t>from point to point.</t>
        </r>
        <r>
          <rPr>
            <sz val="10"/>
            <color indexed="81"/>
            <rFont val="Tahoma"/>
            <family val="2"/>
          </rPr>
          <t xml:space="preserve"> 
  It can be quickly calculated using a hand calculator from past data (either for total tree count, or for tree count by species).
  In most cases, you would use the total tree count.</t>
        </r>
        <r>
          <rPr>
            <sz val="10"/>
            <color indexed="81"/>
            <rFont val="Tahoma"/>
            <family val="2"/>
          </rPr>
          <t xml:space="preserve">
</t>
        </r>
      </text>
    </comment>
    <comment ref="E3" authorId="0" shapeId="0" xr:uid="{C8C11B48-5746-4766-8DC0-66661E5E58EC}">
      <text>
        <r>
          <rPr>
            <sz val="10"/>
            <color indexed="81"/>
            <rFont val="Tahoma"/>
            <family val="2"/>
          </rPr>
          <t xml:space="preserve">  Insert </t>
        </r>
        <r>
          <rPr>
            <sz val="10"/>
            <color indexed="10"/>
            <rFont val="Tahoma"/>
            <family val="2"/>
          </rPr>
          <t>cost</t>
        </r>
        <r>
          <rPr>
            <sz val="10"/>
            <color indexed="81"/>
            <rFont val="Tahoma"/>
            <family val="2"/>
          </rPr>
          <t xml:space="preserve"> for making a </t>
        </r>
        <r>
          <rPr>
            <sz val="10"/>
            <color indexed="10"/>
            <rFont val="Tahoma"/>
            <family val="2"/>
          </rPr>
          <t>tree count,</t>
        </r>
        <r>
          <rPr>
            <sz val="10"/>
            <color indexed="81"/>
            <rFont val="Tahoma"/>
            <family val="2"/>
          </rPr>
          <t xml:space="preserve"> in dollars or time.
  You </t>
        </r>
        <r>
          <rPr>
            <i/>
            <sz val="10"/>
            <color indexed="81"/>
            <rFont val="Tahoma"/>
            <family val="2"/>
          </rPr>
          <t>could</t>
        </r>
        <r>
          <rPr>
            <sz val="10"/>
            <color indexed="81"/>
            <rFont val="Tahoma"/>
            <family val="2"/>
          </rPr>
          <t xml:space="preserve"> also include the travel time between plots in this amount, but the cost of traveling the area is probably a </t>
        </r>
        <r>
          <rPr>
            <u/>
            <sz val="10"/>
            <color indexed="81"/>
            <rFont val="Tahoma"/>
            <family val="2"/>
          </rPr>
          <t>fixed</t>
        </r>
        <r>
          <rPr>
            <sz val="10"/>
            <color indexed="81"/>
            <rFont val="Tahoma"/>
            <family val="2"/>
          </rPr>
          <t xml:space="preserve"> cost, since you have to cover the area with any sampling scheme.  This is best used as the cost  just taking a </t>
        </r>
        <r>
          <rPr>
            <u/>
            <sz val="10"/>
            <color indexed="81"/>
            <rFont val="Tahoma"/>
            <family val="2"/>
          </rPr>
          <t>tree count.</t>
        </r>
      </text>
    </comment>
    <comment ref="H3" authorId="0" shapeId="0" xr:uid="{725B7E54-9D93-4339-8FE0-F041C08633BA}">
      <text>
        <r>
          <rPr>
            <sz val="10"/>
            <color indexed="81"/>
            <rFont val="Tahoma"/>
            <family val="2"/>
          </rPr>
          <t xml:space="preserve">   You can </t>
        </r>
        <r>
          <rPr>
            <sz val="10"/>
            <color indexed="10"/>
            <rFont val="Tahoma"/>
            <family val="2"/>
          </rPr>
          <t>enter up to 3 fixed costs</t>
        </r>
        <r>
          <rPr>
            <sz val="10"/>
            <color indexed="81"/>
            <rFont val="Tahoma"/>
            <family val="2"/>
          </rPr>
          <t xml:space="preserve"> (in time or dollars) which are identified individually.  These will be combined with the variable costs for counts or VBARs. 
   </t>
        </r>
        <r>
          <rPr>
            <sz val="10"/>
            <color indexed="10"/>
            <rFont val="Tahoma"/>
            <family val="2"/>
          </rPr>
          <t xml:space="preserve">To </t>
        </r>
        <r>
          <rPr>
            <u/>
            <sz val="10"/>
            <color indexed="10"/>
            <rFont val="Tahoma"/>
            <family val="2"/>
          </rPr>
          <t>clear</t>
        </r>
        <r>
          <rPr>
            <sz val="10"/>
            <color indexed="10"/>
            <rFont val="Tahoma"/>
            <family val="2"/>
          </rPr>
          <t xml:space="preserve"> these, use "delete" or just put in a </t>
        </r>
        <r>
          <rPr>
            <u/>
            <sz val="10"/>
            <color indexed="10"/>
            <rFont val="Tahoma"/>
            <family val="2"/>
          </rPr>
          <t>zero</t>
        </r>
        <r>
          <rPr>
            <u/>
            <sz val="10"/>
            <color indexed="81"/>
            <rFont val="Tahoma"/>
            <family val="2"/>
          </rPr>
          <t>,</t>
        </r>
        <r>
          <rPr>
            <sz val="10"/>
            <color indexed="81"/>
            <rFont val="Tahoma"/>
            <family val="2"/>
          </rPr>
          <t xml:space="preserve"> rather than putting in a blank, which would cause computation problems.
   This cost is considered in the </t>
        </r>
        <r>
          <rPr>
            <i/>
            <sz val="10"/>
            <color indexed="81"/>
            <rFont val="Tahoma"/>
            <family val="2"/>
          </rPr>
          <t>overall</t>
        </r>
        <r>
          <rPr>
            <sz val="10"/>
            <color indexed="81"/>
            <rFont val="Tahoma"/>
            <family val="2"/>
          </rPr>
          <t xml:space="preserve"> cost and efficiency, which is different than the </t>
        </r>
        <r>
          <rPr>
            <i/>
            <sz val="10"/>
            <color indexed="81"/>
            <rFont val="Tahoma"/>
            <family val="2"/>
          </rPr>
          <t>field</t>
        </r>
        <r>
          <rPr>
            <sz val="10"/>
            <color indexed="81"/>
            <rFont val="Tahoma"/>
            <family val="2"/>
          </rPr>
          <t xml:space="preserve"> efficiency (cost AT the plot) for the measurements. </t>
        </r>
      </text>
    </comment>
    <comment ref="I4" authorId="1" shapeId="0" xr:uid="{E07E1460-EDBC-440B-9DF1-B4BB4AEE949F}">
      <text>
        <r>
          <rPr>
            <b/>
            <sz val="9"/>
            <color indexed="81"/>
            <rFont val="Tahoma"/>
            <family val="2"/>
          </rPr>
          <t>Kim Iles :</t>
        </r>
        <r>
          <rPr>
            <sz val="9"/>
            <color indexed="81"/>
            <rFont val="Tahoma"/>
            <family val="2"/>
          </rPr>
          <t xml:space="preserve">
</t>
        </r>
      </text>
    </comment>
    <comment ref="B5" authorId="0" shapeId="0" xr:uid="{F71B5694-0024-4545-8C98-04F43E387468}">
      <text>
        <r>
          <rPr>
            <b/>
            <sz val="10"/>
            <color indexed="10"/>
            <rFont val="Tahoma"/>
            <family val="2"/>
          </rPr>
          <t>This is the CV of the *BAR ratio.</t>
        </r>
        <r>
          <rPr>
            <sz val="10"/>
            <color indexed="81"/>
            <rFont val="Tahoma"/>
            <family val="2"/>
          </rPr>
          <t xml:space="preserve">
  In most cases, this ratio will be the </t>
        </r>
        <r>
          <rPr>
            <sz val="10"/>
            <color indexed="10"/>
            <rFont val="Tahoma"/>
            <family val="2"/>
          </rPr>
          <t>tree Volume</t>
        </r>
        <r>
          <rPr>
            <sz val="10"/>
            <color indexed="81"/>
            <rFont val="Tahoma"/>
            <family val="2"/>
          </rPr>
          <t xml:space="preserve"> divided by the </t>
        </r>
        <r>
          <rPr>
            <sz val="10"/>
            <color indexed="10"/>
            <rFont val="Tahoma"/>
            <family val="2"/>
          </rPr>
          <t>Basal Area</t>
        </r>
        <r>
          <rPr>
            <sz val="10"/>
            <color indexed="81"/>
            <rFont val="Tahoma"/>
            <family val="2"/>
          </rPr>
          <t xml:space="preserve"> for trees in your Variable Plot sample.
       [  </t>
        </r>
        <r>
          <rPr>
            <u/>
            <sz val="10"/>
            <color indexed="81"/>
            <rFont val="Tahoma"/>
            <family val="2"/>
          </rPr>
          <t>roughly,</t>
        </r>
        <r>
          <rPr>
            <sz val="10"/>
            <color indexed="81"/>
            <rFont val="Tahoma"/>
            <family val="2"/>
          </rPr>
          <t xml:space="preserve"> for </t>
        </r>
        <r>
          <rPr>
            <i/>
            <sz val="10"/>
            <color indexed="81"/>
            <rFont val="Tahoma"/>
            <family val="2"/>
          </rPr>
          <t>gross</t>
        </r>
        <r>
          <rPr>
            <sz val="10"/>
            <color indexed="81"/>
            <rFont val="Tahoma"/>
            <family val="2"/>
          </rPr>
          <t xml:space="preserve"> VBAR, use CV of tree height, and 
          for </t>
        </r>
        <r>
          <rPr>
            <i/>
            <sz val="10"/>
            <color indexed="81"/>
            <rFont val="Tahoma"/>
            <family val="2"/>
          </rPr>
          <t>Net</t>
        </r>
        <r>
          <rPr>
            <sz val="10"/>
            <color indexed="81"/>
            <rFont val="Tahoma"/>
            <family val="2"/>
          </rPr>
          <t xml:space="preserve"> VBAR, use CV of {tree height * % sound}   ]
Since </t>
        </r>
        <r>
          <rPr>
            <i/>
            <sz val="10"/>
            <color indexed="81"/>
            <rFont val="Tahoma"/>
            <family val="2"/>
          </rPr>
          <t>many</t>
        </r>
        <r>
          <rPr>
            <sz val="10"/>
            <color indexed="81"/>
            <rFont val="Tahoma"/>
            <family val="2"/>
          </rPr>
          <t xml:space="preserve"> items could be divided by the BA, I use the general term "</t>
        </r>
        <r>
          <rPr>
            <b/>
            <sz val="10"/>
            <color indexed="10"/>
            <rFont val="Tahoma"/>
            <family val="2"/>
          </rPr>
          <t>*</t>
        </r>
        <r>
          <rPr>
            <sz val="10"/>
            <color indexed="81"/>
            <rFont val="Tahoma"/>
            <family val="2"/>
          </rPr>
          <t xml:space="preserve">BAR".
  You might also want to use the </t>
        </r>
        <r>
          <rPr>
            <sz val="10"/>
            <color indexed="10"/>
            <rFont val="Tahoma"/>
            <family val="2"/>
          </rPr>
          <t>Dollar value</t>
        </r>
        <r>
          <rPr>
            <sz val="10"/>
            <color indexed="81"/>
            <rFont val="Tahoma"/>
            <family val="2"/>
          </rPr>
          <t xml:space="preserve"> divided by the BA of the tree (called $BAR).  Entering this, you can compute the most efficient cruise for stand </t>
        </r>
        <r>
          <rPr>
            <sz val="10"/>
            <color indexed="10"/>
            <rFont val="Tahoma"/>
            <family val="2"/>
          </rPr>
          <t>value</t>
        </r>
        <r>
          <rPr>
            <sz val="10"/>
            <color indexed="81"/>
            <rFont val="Tahoma"/>
            <family val="2"/>
          </rPr>
          <t xml:space="preserve">.  This avoids the complexity of trying to work with the grades of logs, by combining them into a single number that reflects tree value (the main issue with grades anyway).
--------------------------------------
   If you choose to measure </t>
        </r>
        <r>
          <rPr>
            <sz val="10"/>
            <color indexed="10"/>
            <rFont val="Tahoma"/>
            <family val="2"/>
          </rPr>
          <t>all</t>
        </r>
        <r>
          <rPr>
            <sz val="10"/>
            <color indexed="81"/>
            <rFont val="Tahoma"/>
            <family val="2"/>
          </rPr>
          <t xml:space="preserve"> the trees at </t>
        </r>
        <r>
          <rPr>
            <sz val="10"/>
            <color indexed="10"/>
            <rFont val="Tahoma"/>
            <family val="2"/>
          </rPr>
          <t>some</t>
        </r>
        <r>
          <rPr>
            <sz val="10"/>
            <color indexed="81"/>
            <rFont val="Tahoma"/>
            <family val="2"/>
          </rPr>
          <t xml:space="preserve"> </t>
        </r>
        <r>
          <rPr>
            <sz val="10"/>
            <color indexed="10"/>
            <rFont val="Tahoma"/>
            <family val="2"/>
          </rPr>
          <t>sample points,</t>
        </r>
        <r>
          <rPr>
            <sz val="10"/>
            <color indexed="81"/>
            <rFont val="Tahoma"/>
            <family val="2"/>
          </rPr>
          <t xml:space="preserve"> you </t>
        </r>
        <r>
          <rPr>
            <u/>
            <sz val="10"/>
            <color indexed="81"/>
            <rFont val="Tahoma"/>
            <family val="2"/>
          </rPr>
          <t>could</t>
        </r>
        <r>
          <rPr>
            <sz val="10"/>
            <color indexed="81"/>
            <rFont val="Tahoma"/>
            <family val="2"/>
          </rPr>
          <t xml:space="preserve"> enter the CV (and cost) of the </t>
        </r>
        <r>
          <rPr>
            <u/>
            <sz val="10"/>
            <color indexed="81"/>
            <rFont val="Tahoma"/>
            <family val="2"/>
          </rPr>
          <t>average</t>
        </r>
        <r>
          <rPr>
            <sz val="10"/>
            <color indexed="81"/>
            <rFont val="Tahoma"/>
            <family val="2"/>
          </rPr>
          <t xml:space="preserve"> *BAR at these points from ALL trees, and thereby calculate the number of fully measured sample points.
 </t>
        </r>
        <r>
          <rPr>
            <sz val="10"/>
            <color indexed="10"/>
            <rFont val="Tahoma"/>
            <family val="2"/>
          </rPr>
          <t xml:space="preserve">  For practical purposes,</t>
        </r>
        <r>
          <rPr>
            <sz val="10"/>
            <color indexed="81"/>
            <rFont val="Tahoma"/>
            <family val="2"/>
          </rPr>
          <t xml:space="preserve"> most people compute the </t>
        </r>
        <r>
          <rPr>
            <i/>
            <sz val="10"/>
            <color indexed="81"/>
            <rFont val="Tahoma"/>
            <family val="2"/>
          </rPr>
          <t xml:space="preserve">number of trees </t>
        </r>
        <r>
          <rPr>
            <sz val="10"/>
            <color indexed="81"/>
            <rFont val="Tahoma"/>
            <family val="2"/>
          </rPr>
          <t>using the</t>
        </r>
        <r>
          <rPr>
            <i/>
            <sz val="10"/>
            <color indexed="81"/>
            <rFont val="Tahoma"/>
            <family val="2"/>
          </rPr>
          <t xml:space="preserve"> individual tree VBAR,</t>
        </r>
        <r>
          <rPr>
            <sz val="10"/>
            <color indexed="81"/>
            <rFont val="Tahoma"/>
            <family val="2"/>
          </rPr>
          <t xml:space="preserve"> </t>
        </r>
        <r>
          <rPr>
            <i/>
            <sz val="10"/>
            <color indexed="81"/>
            <rFont val="Tahoma"/>
            <family val="2"/>
          </rPr>
          <t>then divide that by the average number of trees/point</t>
        </r>
        <r>
          <rPr>
            <sz val="10"/>
            <color indexed="81"/>
            <rFont val="Tahoma"/>
            <family val="2"/>
          </rPr>
          <t xml:space="preserve"> to find the number of points where you measure </t>
        </r>
        <r>
          <rPr>
            <i/>
            <sz val="10"/>
            <color indexed="81"/>
            <rFont val="Tahoma"/>
            <family val="2"/>
          </rPr>
          <t>all</t>
        </r>
        <r>
          <rPr>
            <sz val="10"/>
            <color indexed="81"/>
            <rFont val="Tahoma"/>
            <family val="2"/>
          </rPr>
          <t xml:space="preserve"> the trees.  This is not as efficient as spreading the trees throughout the stand (using a second BAF or random selection, for instance).  There is usually a way to work the computer program which will allow you to use  "distributed VBARs" gathered in this way.  </t>
        </r>
      </text>
    </comment>
    <comment ref="E5" authorId="0" shapeId="0" xr:uid="{9A696D18-321C-4CC9-81B3-0DB192F29E10}">
      <text>
        <r>
          <rPr>
            <sz val="10"/>
            <color indexed="81"/>
            <rFont val="Arial"/>
            <family val="2"/>
          </rPr>
          <t xml:space="preserve">  Insert </t>
        </r>
        <r>
          <rPr>
            <sz val="10"/>
            <color indexed="10"/>
            <rFont val="Arial"/>
            <family val="2"/>
          </rPr>
          <t>cost</t>
        </r>
        <r>
          <rPr>
            <sz val="10"/>
            <color indexed="81"/>
            <rFont val="Arial"/>
            <family val="2"/>
          </rPr>
          <t xml:space="preserve"> </t>
        </r>
        <r>
          <rPr>
            <sz val="10"/>
            <color indexed="10"/>
            <rFont val="Arial"/>
            <family val="2"/>
          </rPr>
          <t>of measuring a tree,</t>
        </r>
        <r>
          <rPr>
            <sz val="10"/>
            <color indexed="81"/>
            <rFont val="Arial"/>
            <family val="2"/>
          </rPr>
          <t xml:space="preserve"> in </t>
        </r>
        <r>
          <rPr>
            <sz val="10"/>
            <color indexed="10"/>
            <rFont val="Arial"/>
            <family val="2"/>
          </rPr>
          <t>dollars or time.</t>
        </r>
        <r>
          <rPr>
            <sz val="10"/>
            <color indexed="81"/>
            <rFont val="Arial"/>
            <family val="2"/>
          </rPr>
          <t xml:space="preserve">  The computation will then favor "cheaper" measurements.
  </t>
        </r>
        <r>
          <rPr>
            <sz val="8"/>
            <color indexed="81"/>
            <rFont val="Arial"/>
            <family val="2"/>
          </rPr>
          <t xml:space="preserve"> </t>
        </r>
        <r>
          <rPr>
            <sz val="8"/>
            <color indexed="10"/>
            <rFont val="Arial"/>
            <family val="2"/>
          </rPr>
          <t>If</t>
        </r>
        <r>
          <rPr>
            <sz val="8"/>
            <color indexed="81"/>
            <rFont val="Arial"/>
            <family val="2"/>
          </rPr>
          <t xml:space="preserve"> you entered the CV of the </t>
        </r>
        <r>
          <rPr>
            <sz val="8"/>
            <color indexed="10"/>
            <rFont val="Arial"/>
            <family val="2"/>
          </rPr>
          <t>average</t>
        </r>
        <r>
          <rPr>
            <sz val="8"/>
            <color indexed="81"/>
            <rFont val="Arial"/>
            <family val="2"/>
          </rPr>
          <t xml:space="preserve"> VBAR in a cluster (and I would not), this is the average cost of measuring </t>
        </r>
        <r>
          <rPr>
            <sz val="8"/>
            <color indexed="10"/>
            <rFont val="Arial"/>
            <family val="2"/>
          </rPr>
          <t>all</t>
        </r>
        <r>
          <rPr>
            <sz val="8"/>
            <color indexed="81"/>
            <rFont val="Arial"/>
            <family val="2"/>
          </rPr>
          <t xml:space="preserve"> the trees in a cluster.</t>
        </r>
      </text>
    </comment>
    <comment ref="D7" authorId="0" shapeId="0" xr:uid="{7F7ACEEA-F329-4BD7-B64F-3AA31DDBC246}">
      <text>
        <r>
          <rPr>
            <sz val="10"/>
            <color indexed="81"/>
            <rFont val="Tahoma"/>
            <family val="2"/>
          </rPr>
          <t xml:space="preserve">  This is the </t>
        </r>
        <r>
          <rPr>
            <u/>
            <sz val="10"/>
            <color indexed="10"/>
            <rFont val="Tahoma"/>
            <family val="2"/>
          </rPr>
          <t>ratio</t>
        </r>
        <r>
          <rPr>
            <sz val="10"/>
            <color indexed="10"/>
            <rFont val="Tahoma"/>
            <family val="2"/>
          </rPr>
          <t xml:space="preserve"> of tree counts</t>
        </r>
        <r>
          <rPr>
            <sz val="10"/>
            <color indexed="81"/>
            <rFont val="Tahoma"/>
            <family val="2"/>
          </rPr>
          <t xml:space="preserve"> made at sample points </t>
        </r>
        <r>
          <rPr>
            <sz val="10"/>
            <color indexed="10"/>
            <rFont val="Tahoma"/>
            <family val="2"/>
          </rPr>
          <t>to *BAR measurements (usually trees)</t>
        </r>
        <r>
          <rPr>
            <sz val="10"/>
            <color indexed="81"/>
            <rFont val="Tahoma"/>
            <family val="2"/>
          </rPr>
          <t xml:space="preserve"> taken.</t>
        </r>
      </text>
    </comment>
    <comment ref="H8" authorId="2" shapeId="0" xr:uid="{C5DE6E4E-E8DE-455B-A20C-94DB97C8EF5D}">
      <text>
        <r>
          <rPr>
            <sz val="10"/>
            <color indexed="81"/>
            <rFont val="Tahoma"/>
            <family val="2"/>
          </rPr>
          <t xml:space="preserve">    With the average tree count in cell I15, use a BAF this many </t>
        </r>
        <r>
          <rPr>
            <sz val="10"/>
            <color indexed="10"/>
            <rFont val="Tahoma"/>
            <family val="2"/>
          </rPr>
          <t>times</t>
        </r>
        <r>
          <rPr>
            <sz val="10"/>
            <color indexed="81"/>
            <rFont val="Tahoma"/>
            <family val="2"/>
          </rPr>
          <t xml:space="preserve"> larger than the one for counting trees and you will automatically end up with about the right number of measured trees.
   The advantage is that the trees will be spread throughout the stand, rather than in clumps.  This is called the "Big BAF method" of selecting measured trees.</t>
        </r>
      </text>
    </comment>
    <comment ref="D9" authorId="0" shapeId="0" xr:uid="{921D36ED-D7E8-4ECB-B7ED-408C5381EEDB}">
      <text>
        <r>
          <rPr>
            <sz val="10"/>
            <color indexed="81"/>
            <rFont val="Tahoma"/>
            <family val="2"/>
          </rPr>
          <t xml:space="preserve">   This is </t>
        </r>
        <r>
          <rPr>
            <b/>
            <sz val="10"/>
            <color indexed="81"/>
            <rFont val="Tahoma"/>
            <family val="2"/>
          </rPr>
          <t>"</t>
        </r>
        <r>
          <rPr>
            <b/>
            <sz val="10"/>
            <color indexed="10"/>
            <rFont val="Tahoma"/>
            <family val="2"/>
          </rPr>
          <t>ONE</t>
        </r>
        <r>
          <rPr>
            <sz val="10"/>
            <color indexed="10"/>
            <rFont val="Tahoma"/>
            <family val="2"/>
          </rPr>
          <t xml:space="preserve"> Standard Error</t>
        </r>
        <r>
          <rPr>
            <sz val="10"/>
            <color indexed="81"/>
            <rFont val="Tahoma"/>
            <family val="2"/>
          </rPr>
          <t>" in percent.  If the total error% is 7% for 95% confidence (t=2), this would be entered as 3.5% in cell D9.</t>
        </r>
        <r>
          <rPr>
            <sz val="10"/>
            <color indexed="81"/>
            <rFont val="Tahoma"/>
            <family val="2"/>
          </rPr>
          <t xml:space="preserve">
</t>
        </r>
      </text>
    </comment>
    <comment ref="H9" authorId="3" shapeId="0" xr:uid="{24E72A9B-3966-463F-907A-0D6099494E9D}">
      <text>
        <r>
          <rPr>
            <sz val="10"/>
            <color indexed="81"/>
            <rFont val="Tahoma"/>
            <family val="2"/>
          </rPr>
          <t xml:space="preserve">  These gold cells are unprotected so you can record </t>
        </r>
        <r>
          <rPr>
            <sz val="10"/>
            <color indexed="10"/>
            <rFont val="Tahoma"/>
            <family val="2"/>
          </rPr>
          <t>comments</t>
        </r>
        <r>
          <rPr>
            <sz val="10"/>
            <color indexed="81"/>
            <rFont val="Tahoma"/>
            <family val="2"/>
          </rPr>
          <t xml:space="preserve"> or </t>
        </r>
        <r>
          <rPr>
            <sz val="10"/>
            <color indexed="10"/>
            <rFont val="Tahoma"/>
            <family val="2"/>
          </rPr>
          <t>calculations</t>
        </r>
        <r>
          <rPr>
            <sz val="10"/>
            <color indexed="81"/>
            <rFont val="Tahoma"/>
            <family val="2"/>
          </rPr>
          <t xml:space="preserve"> of interest to the data entered.
  These comments will be printed with the data if you print the section that copies these results at the bottom of the spreadsheet (line 115, for instance).
</t>
        </r>
      </text>
    </comment>
    <comment ref="C11" authorId="0" shapeId="0" xr:uid="{543B0FFF-C73C-400F-91F0-F7F2863C0327}">
      <text>
        <r>
          <rPr>
            <sz val="10"/>
            <color indexed="81"/>
            <rFont val="Tahoma"/>
            <family val="2"/>
          </rPr>
          <t xml:space="preserve">  This is the </t>
        </r>
        <r>
          <rPr>
            <sz val="10"/>
            <color indexed="10"/>
            <rFont val="Tahoma"/>
            <family val="2"/>
          </rPr>
          <t>number of points</t>
        </r>
        <r>
          <rPr>
            <sz val="10"/>
            <color indexed="81"/>
            <rFont val="Tahoma"/>
            <family val="2"/>
          </rPr>
          <t xml:space="preserve"> you must visit and make a tree count.</t>
        </r>
      </text>
    </comment>
    <comment ref="E11" authorId="0" shapeId="0" xr:uid="{07B6E197-35F6-42EB-AAAB-3D0993558909}">
      <text>
        <r>
          <rPr>
            <sz val="10"/>
            <color indexed="81"/>
            <rFont val="Tahoma"/>
            <family val="2"/>
          </rPr>
          <t xml:space="preserve">  </t>
        </r>
        <r>
          <rPr>
            <sz val="10"/>
            <color indexed="12"/>
            <rFont val="Tahoma"/>
            <family val="2"/>
          </rPr>
          <t xml:space="preserve"> This is the calculated</t>
        </r>
        <r>
          <rPr>
            <sz val="10"/>
            <color indexed="81"/>
            <rFont val="Tahoma"/>
            <family val="2"/>
          </rPr>
          <t xml:space="preserve"> </t>
        </r>
        <r>
          <rPr>
            <sz val="10"/>
            <color indexed="10"/>
            <rFont val="Tahoma"/>
            <family val="2"/>
          </rPr>
          <t xml:space="preserve">SE% for the </t>
        </r>
        <r>
          <rPr>
            <u/>
            <sz val="10"/>
            <color indexed="10"/>
            <rFont val="Tahoma"/>
            <family val="2"/>
          </rPr>
          <t>basal area</t>
        </r>
        <r>
          <rPr>
            <sz val="10"/>
            <color indexed="10"/>
            <rFont val="Tahoma"/>
            <family val="2"/>
          </rPr>
          <t xml:space="preserve"> (or tree count) </t>
        </r>
        <r>
          <rPr>
            <sz val="10"/>
            <color indexed="12"/>
            <rFont val="Tahoma"/>
            <family val="2"/>
          </rPr>
          <t>using this number of sample points.  
   It is balanced with the number of measurements in order to minimize overall cost.</t>
        </r>
      </text>
    </comment>
    <comment ref="G11" authorId="0" shapeId="0" xr:uid="{8351FFDD-A08E-4CE5-A0BE-1F6A52B893ED}">
      <text>
        <r>
          <rPr>
            <sz val="10"/>
            <color indexed="81"/>
            <rFont val="Tahoma"/>
            <family val="2"/>
          </rPr>
          <t xml:space="preserve">  This is the </t>
        </r>
        <r>
          <rPr>
            <sz val="10"/>
            <color indexed="10"/>
            <rFont val="Tahoma"/>
            <family val="2"/>
          </rPr>
          <t>total cost</t>
        </r>
        <r>
          <rPr>
            <sz val="10"/>
            <color indexed="81"/>
            <rFont val="Tahoma"/>
            <family val="2"/>
          </rPr>
          <t xml:space="preserve"> of the optimized "count vs. measure" ratio, including the fixed costs, </t>
        </r>
        <r>
          <rPr>
            <sz val="10"/>
            <color indexed="10"/>
            <rFont val="Tahoma"/>
            <family val="2"/>
          </rPr>
          <t>to provide you the SE% you required.</t>
        </r>
        <r>
          <rPr>
            <sz val="10"/>
            <color indexed="81"/>
            <rFont val="Tahoma"/>
            <family val="2"/>
          </rPr>
          <t xml:space="preserve">
  If you want to add extra plots (or try a different ratio of count vs. measure plots) it gives you a reference for the efficiency for the other alternatives.</t>
        </r>
      </text>
    </comment>
    <comment ref="I11" authorId="0" shapeId="0" xr:uid="{0F6B5538-333A-40BC-9471-278CA7B9D434}">
      <text>
        <r>
          <rPr>
            <sz val="10"/>
            <color indexed="81"/>
            <rFont val="Tahoma"/>
            <family val="2"/>
          </rPr>
          <t xml:space="preserve">This is the </t>
        </r>
        <r>
          <rPr>
            <sz val="10"/>
            <color indexed="10"/>
            <rFont val="Tahoma"/>
            <family val="2"/>
          </rPr>
          <t>cost per sample point.</t>
        </r>
        <r>
          <rPr>
            <sz val="10"/>
            <color indexed="81"/>
            <rFont val="Tahoma"/>
            <family val="2"/>
          </rPr>
          <t xml:space="preserve">  It is simply the total cost divided by the number of sample points visited.</t>
        </r>
      </text>
    </comment>
    <comment ref="C12" authorId="0" shapeId="0" xr:uid="{E541D942-959C-4ACC-896B-67D1B9003338}">
      <text>
        <r>
          <rPr>
            <sz val="10"/>
            <color indexed="81"/>
            <rFont val="Tahoma"/>
            <family val="2"/>
          </rPr>
          <t xml:space="preserve">   This is the </t>
        </r>
        <r>
          <rPr>
            <sz val="10"/>
            <color indexed="10"/>
            <rFont val="Tahoma"/>
            <family val="2"/>
          </rPr>
          <t>number of *BAR measurements</t>
        </r>
        <r>
          <rPr>
            <sz val="10"/>
            <color indexed="81"/>
            <rFont val="Tahoma"/>
            <family val="2"/>
          </rPr>
          <t xml:space="preserve"> you should make for optimal efficiency.
</t>
        </r>
        <r>
          <rPr>
            <sz val="10"/>
            <color indexed="10"/>
            <rFont val="Tahoma"/>
            <family val="2"/>
          </rPr>
          <t xml:space="preserve">   Normally this is the number of trees to measure.</t>
        </r>
        <r>
          <rPr>
            <sz val="10"/>
            <color indexed="81"/>
            <rFont val="Tahoma"/>
            <family val="2"/>
          </rPr>
          <t xml:space="preserve"> 
</t>
        </r>
        <r>
          <rPr>
            <sz val="10"/>
            <color indexed="12"/>
            <rFont val="Tahoma"/>
            <family val="2"/>
          </rPr>
          <t xml:space="preserve">  I suggest the use of</t>
        </r>
        <r>
          <rPr>
            <sz val="10"/>
            <color indexed="10"/>
            <rFont val="Tahoma"/>
            <family val="2"/>
          </rPr>
          <t xml:space="preserve"> "distributed VBARs" </t>
        </r>
        <r>
          <rPr>
            <sz val="10"/>
            <color indexed="12"/>
            <rFont val="Tahoma"/>
            <family val="2"/>
          </rPr>
          <t xml:space="preserve">where you spread the measurements throughout the stand using a larger BAF (rather than put them all in a few clusters).  This is a personal choice, and the compilation routine must be able to handle that (and can usually be tricked into doing so).
--------------------------------------
  It </t>
        </r>
        <r>
          <rPr>
            <u/>
            <sz val="10"/>
            <color indexed="12"/>
            <rFont val="Tahoma"/>
            <family val="2"/>
          </rPr>
          <t>could</t>
        </r>
        <r>
          <rPr>
            <sz val="10"/>
            <color indexed="12"/>
            <rFont val="Tahoma"/>
            <family val="2"/>
          </rPr>
          <t xml:space="preserve"> also be the number of fully measured sample points, </t>
        </r>
        <r>
          <rPr>
            <u val="double"/>
            <sz val="10"/>
            <color indexed="12"/>
            <rFont val="Tahoma"/>
            <family val="2"/>
          </rPr>
          <t>if</t>
        </r>
        <r>
          <rPr>
            <u/>
            <sz val="10"/>
            <color indexed="12"/>
            <rFont val="Tahoma"/>
            <family val="2"/>
          </rPr>
          <t xml:space="preserve"> you entered the CV of the </t>
        </r>
        <r>
          <rPr>
            <i/>
            <u/>
            <sz val="10"/>
            <color indexed="12"/>
            <rFont val="Tahoma"/>
            <family val="2"/>
          </rPr>
          <t>average</t>
        </r>
        <r>
          <rPr>
            <u/>
            <sz val="10"/>
            <color indexed="12"/>
            <rFont val="Tahoma"/>
            <family val="2"/>
          </rPr>
          <t xml:space="preserve"> *BAR of a cluster of trees</t>
        </r>
        <r>
          <rPr>
            <sz val="10"/>
            <color indexed="12"/>
            <rFont val="Tahoma"/>
            <family val="2"/>
          </rPr>
          <t xml:space="preserve"> in cell B5.  
  Traditionally, people measure </t>
        </r>
        <r>
          <rPr>
            <u/>
            <sz val="10"/>
            <color indexed="12"/>
            <rFont val="Tahoma"/>
            <family val="2"/>
          </rPr>
          <t>all</t>
        </r>
        <r>
          <rPr>
            <sz val="10"/>
            <color indexed="12"/>
            <rFont val="Tahoma"/>
            <family val="2"/>
          </rPr>
          <t xml:space="preserve"> trees at </t>
        </r>
        <r>
          <rPr>
            <u/>
            <sz val="10"/>
            <color indexed="12"/>
            <rFont val="Tahoma"/>
            <family val="2"/>
          </rPr>
          <t>some</t>
        </r>
        <r>
          <rPr>
            <sz val="10"/>
            <color indexed="12"/>
            <rFont val="Tahoma"/>
            <family val="2"/>
          </rPr>
          <t xml:space="preserve"> points use the CV for VBARs of individual trees (so this computation indicates the number of trees) and </t>
        </r>
        <r>
          <rPr>
            <i/>
            <sz val="10"/>
            <color indexed="12"/>
            <rFont val="Tahoma"/>
            <family val="2"/>
          </rPr>
          <t>then</t>
        </r>
        <r>
          <rPr>
            <sz val="10"/>
            <color indexed="12"/>
            <rFont val="Tahoma"/>
            <family val="2"/>
          </rPr>
          <t xml:space="preserve"> compute the number of points that would accumulate that number of trees.  If you need 50 trees, and expect 6 tree/point, measure about 8-10 full points in order to accumulate that number of measured trees.</t>
        </r>
      </text>
    </comment>
    <comment ref="E12" authorId="0" shapeId="0" xr:uid="{EB9730D3-618C-4DBB-8F0E-4F1F57E33741}">
      <text>
        <r>
          <rPr>
            <sz val="10"/>
            <color indexed="81"/>
            <rFont val="Tahoma"/>
            <family val="2"/>
          </rPr>
          <t xml:space="preserve">   This is the calculated </t>
        </r>
        <r>
          <rPr>
            <sz val="10"/>
            <color indexed="10"/>
            <rFont val="Tahoma"/>
            <family val="2"/>
          </rPr>
          <t xml:space="preserve">SE% for the </t>
        </r>
        <r>
          <rPr>
            <u/>
            <sz val="10"/>
            <color indexed="10"/>
            <rFont val="Tahoma"/>
            <family val="2"/>
          </rPr>
          <t>*BAR</t>
        </r>
        <r>
          <rPr>
            <sz val="10"/>
            <color indexed="10"/>
            <rFont val="Tahoma"/>
            <family val="2"/>
          </rPr>
          <t xml:space="preserve"> measurements</t>
        </r>
        <r>
          <rPr>
            <sz val="10"/>
            <color indexed="81"/>
            <rFont val="Tahoma"/>
            <family val="2"/>
          </rPr>
          <t xml:space="preserve"> with this number of measured items (usually trees).  
   It is balanced with the number of tree counts in order to minimize overall cost.</t>
        </r>
      </text>
    </comment>
    <comment ref="I12" authorId="0" shapeId="0" xr:uid="{24CEECA8-8607-4BD6-B45F-5771928E0EB9}">
      <text>
        <r>
          <rPr>
            <sz val="10"/>
            <color indexed="81"/>
            <rFont val="Tahoma"/>
            <family val="2"/>
          </rPr>
          <t xml:space="preserve">  There is not really </t>
        </r>
        <r>
          <rPr>
            <i/>
            <sz val="10"/>
            <color indexed="81"/>
            <rFont val="Tahoma"/>
            <family val="2"/>
          </rPr>
          <t>one</t>
        </r>
        <r>
          <rPr>
            <sz val="10"/>
            <color indexed="81"/>
            <rFont val="Tahoma"/>
            <family val="2"/>
          </rPr>
          <t xml:space="preserve"> CV for Variable Plot sampling when you use count and measure plots, because the variability depends on the ratio of Count:Measure plots.
  </t>
        </r>
        <r>
          <rPr>
            <sz val="10"/>
            <color indexed="10"/>
            <rFont val="Tahoma"/>
            <family val="2"/>
          </rPr>
          <t>If you want a reasonable approximation to the CV,</t>
        </r>
        <r>
          <rPr>
            <sz val="10"/>
            <color indexed="81"/>
            <rFont val="Tahoma"/>
            <family val="2"/>
          </rPr>
          <t xml:space="preserve"> </t>
        </r>
        <r>
          <rPr>
            <u/>
            <sz val="10"/>
            <color indexed="81"/>
            <rFont val="Tahoma"/>
            <family val="2"/>
          </rPr>
          <t>using the optimium ratio,</t>
        </r>
        <r>
          <rPr>
            <sz val="10"/>
            <color indexed="81"/>
            <rFont val="Tahoma"/>
            <family val="2"/>
          </rPr>
          <t xml:space="preserve"> then this is a good one.
  If you want to calculate some other sample size, this CV can be plugged into the standard equations where "n" is the number of count plots.</t>
        </r>
      </text>
    </comment>
    <comment ref="B13" authorId="2" shapeId="0" xr:uid="{F185AC57-FD98-4AC1-AF47-B0F966437FD8}">
      <text>
        <r>
          <rPr>
            <sz val="10"/>
            <color indexed="81"/>
            <rFont val="Tahoma"/>
            <family val="2"/>
          </rPr>
          <t xml:space="preserve">  Add any notes you want on this long line, starting in cell C13.  It will print when you copy the entire section.
</t>
        </r>
      </text>
    </comment>
    <comment ref="E14" authorId="0" shapeId="0" xr:uid="{A15EC5F0-20D6-4603-B6B8-D4AA3063D145}">
      <text>
        <r>
          <rPr>
            <sz val="10"/>
            <color indexed="81"/>
            <rFont val="Tahoma"/>
            <family val="2"/>
          </rPr>
          <t xml:space="preserve">  In this Section (with the light green background) you can </t>
        </r>
        <r>
          <rPr>
            <sz val="10"/>
            <color indexed="10"/>
            <rFont val="Tahoma"/>
            <family val="2"/>
          </rPr>
          <t>test</t>
        </r>
        <r>
          <rPr>
            <sz val="10"/>
            <color indexed="81"/>
            <rFont val="Tahoma"/>
            <family val="2"/>
          </rPr>
          <t xml:space="preserve"> </t>
        </r>
        <r>
          <rPr>
            <sz val="10"/>
            <color indexed="10"/>
            <rFont val="Tahoma"/>
            <family val="2"/>
          </rPr>
          <t>other Combinations</t>
        </r>
        <r>
          <rPr>
            <sz val="10"/>
            <color indexed="81"/>
            <rFont val="Tahoma"/>
            <family val="2"/>
          </rPr>
          <t xml:space="preserve"> of points and measurements.
  </t>
        </r>
        <r>
          <rPr>
            <sz val="10"/>
            <color indexed="10"/>
            <rFont val="Tahoma"/>
            <family val="2"/>
          </rPr>
          <t>The program will compute the Overall  SE%, and the efficiency of your choices.</t>
        </r>
      </text>
    </comment>
    <comment ref="H14" authorId="4" shapeId="0" xr:uid="{C000E177-F59B-4E5D-902E-C03FC95A4D55}">
      <text>
        <r>
          <rPr>
            <sz val="8"/>
            <color indexed="81"/>
            <rFont val="Tahoma"/>
            <family val="2"/>
          </rPr>
          <t>This is the BAF multiplier using the information in C15/16.</t>
        </r>
      </text>
    </comment>
    <comment ref="I14" authorId="0" shapeId="0" xr:uid="{2AF7DD17-A0EB-40A5-8D15-7310692DEA24}">
      <text>
        <r>
          <rPr>
            <sz val="10"/>
            <color indexed="81"/>
            <rFont val="Tahoma"/>
            <family val="2"/>
          </rPr>
          <t xml:space="preserve">   If you use one BAF for counting the trees, and another one for choosing the ones to be measured, </t>
        </r>
        <r>
          <rPr>
            <sz val="10"/>
            <color indexed="10"/>
            <rFont val="Tahoma"/>
            <family val="2"/>
          </rPr>
          <t>this is how much larger the second BAF must be for choosing trees.</t>
        </r>
        <r>
          <rPr>
            <sz val="10"/>
            <color indexed="81"/>
            <rFont val="Tahoma"/>
            <family val="2"/>
          </rPr>
          <t xml:space="preserve">  It uses the number of *BAR's you intend to take from cell C16 (these will be individual trees, in this case), plus the average tree count in cell I15 to compute a value.
   If you count with a 20, then (20*multiplier) is the BAF needed for choosing the number of measured trees you want to use.</t>
        </r>
      </text>
    </comment>
    <comment ref="B15" authorId="0" shapeId="0" xr:uid="{8DF37E96-6B6E-4738-AEF8-82EB0B62B447}">
      <text>
        <r>
          <rPr>
            <sz val="10"/>
            <color indexed="81"/>
            <rFont val="Tahoma"/>
            <family val="2"/>
          </rPr>
          <t xml:space="preserve">  In this cell enter the </t>
        </r>
        <r>
          <rPr>
            <sz val="10"/>
            <color indexed="10"/>
            <rFont val="Tahoma"/>
            <family val="2"/>
          </rPr>
          <t>number of points</t>
        </r>
        <r>
          <rPr>
            <sz val="10"/>
            <color indexed="81"/>
            <rFont val="Tahoma"/>
            <family val="2"/>
          </rPr>
          <t xml:space="preserve"> where you intend to do tree counts.</t>
        </r>
      </text>
    </comment>
    <comment ref="D15" authorId="0" shapeId="0" xr:uid="{06C1BB1A-84B9-4979-AB85-3A6127F7C541}">
      <text>
        <r>
          <rPr>
            <sz val="10"/>
            <color indexed="81"/>
            <rFont val="Tahoma"/>
            <family val="2"/>
          </rPr>
          <t xml:space="preserve">    The small numbers in italics are the </t>
        </r>
        <r>
          <rPr>
            <sz val="10"/>
            <color indexed="10"/>
            <rFont val="Tahoma"/>
            <family val="2"/>
          </rPr>
          <t>numbers needed to get virtually the same SE%</t>
        </r>
        <r>
          <rPr>
            <sz val="10"/>
            <color indexed="81"/>
            <rFont val="Tahoma"/>
            <family val="2"/>
          </rPr>
          <t xml:space="preserve"> as the you entered in section #1 (D9).
     It uses the </t>
        </r>
        <r>
          <rPr>
            <u/>
            <sz val="10"/>
            <color indexed="81"/>
            <rFont val="Tahoma"/>
            <family val="2"/>
          </rPr>
          <t xml:space="preserve">same </t>
        </r>
        <r>
          <rPr>
            <u/>
            <sz val="10"/>
            <color indexed="10"/>
            <rFont val="Tahoma"/>
            <family val="2"/>
          </rPr>
          <t>ratio</t>
        </r>
        <r>
          <rPr>
            <sz val="10"/>
            <color indexed="81"/>
            <rFont val="Tahoma"/>
            <family val="2"/>
          </rPr>
          <t xml:space="preserve"> as the numbers you entered in the red cells to the left (C15:16).</t>
        </r>
      </text>
    </comment>
    <comment ref="F15" authorId="0" shapeId="0" xr:uid="{C5A0516F-31F9-4791-8BE7-C74A05428C22}">
      <text>
        <r>
          <rPr>
            <sz val="10"/>
            <color indexed="81"/>
            <rFont val="Tahoma"/>
            <family val="2"/>
          </rPr>
          <t xml:space="preserve">   This is the calculated </t>
        </r>
        <r>
          <rPr>
            <sz val="10"/>
            <color indexed="10"/>
            <rFont val="Tahoma"/>
            <family val="2"/>
          </rPr>
          <t>SE% for the basal area</t>
        </r>
        <r>
          <rPr>
            <sz val="10"/>
            <color indexed="81"/>
            <rFont val="Tahoma"/>
            <family val="2"/>
          </rPr>
          <t xml:space="preserve"> or tree count (using </t>
        </r>
        <r>
          <rPr>
            <sz val="10"/>
            <color indexed="10"/>
            <rFont val="Tahoma"/>
            <family val="2"/>
          </rPr>
          <t>your</t>
        </r>
        <r>
          <rPr>
            <sz val="10"/>
            <color indexed="81"/>
            <rFont val="Tahoma"/>
            <family val="2"/>
          </rPr>
          <t xml:space="preserve"> number of sample points in cell C15). </t>
        </r>
      </text>
    </comment>
    <comment ref="H15" authorId="0" shapeId="0" xr:uid="{C4CBAE42-01AD-436D-B836-AA7E347F7B61}">
      <text>
        <r>
          <rPr>
            <sz val="10"/>
            <color indexed="81"/>
            <rFont val="Tahoma"/>
            <family val="2"/>
          </rPr>
          <t xml:space="preserve">  This is the </t>
        </r>
        <r>
          <rPr>
            <sz val="10"/>
            <color indexed="10"/>
            <rFont val="Tahoma"/>
            <family val="2"/>
          </rPr>
          <t>average tree count you are expecting</t>
        </r>
        <r>
          <rPr>
            <sz val="10"/>
            <color indexed="81"/>
            <rFont val="Tahoma"/>
            <family val="2"/>
          </rPr>
          <t xml:space="preserve"> on the cruise.
-------------------
  Get the </t>
        </r>
        <r>
          <rPr>
            <sz val="10"/>
            <color indexed="10"/>
            <rFont val="Tahoma"/>
            <family val="2"/>
          </rPr>
          <t>approximate basal area</t>
        </r>
        <r>
          <rPr>
            <sz val="10"/>
            <color indexed="81"/>
            <rFont val="Tahoma"/>
            <family val="2"/>
          </rPr>
          <t xml:space="preserve"> on the tract (use </t>
        </r>
        <r>
          <rPr>
            <u/>
            <sz val="10"/>
            <color indexed="81"/>
            <rFont val="Tahoma"/>
            <family val="2"/>
          </rPr>
          <t>any</t>
        </r>
        <r>
          <rPr>
            <sz val="10"/>
            <color indexed="81"/>
            <rFont val="Tahoma"/>
            <family val="2"/>
          </rPr>
          <t xml:space="preserve"> prism, or your calibrated thumb to get this).  
  Then </t>
        </r>
        <r>
          <rPr>
            <sz val="10"/>
            <color indexed="10"/>
            <rFont val="Tahoma"/>
            <family val="2"/>
          </rPr>
          <t>divide it by the BAF</t>
        </r>
        <r>
          <rPr>
            <sz val="10"/>
            <color indexed="81"/>
            <rFont val="Tahoma"/>
            <family val="2"/>
          </rPr>
          <t xml:space="preserve"> you </t>
        </r>
        <r>
          <rPr>
            <u/>
            <sz val="10"/>
            <color indexed="81"/>
            <rFont val="Tahoma"/>
            <family val="2"/>
          </rPr>
          <t>intend</t>
        </r>
        <r>
          <rPr>
            <sz val="10"/>
            <color indexed="81"/>
            <rFont val="Tahoma"/>
            <family val="2"/>
          </rPr>
          <t xml:space="preserve"> to use and you will get the </t>
        </r>
        <r>
          <rPr>
            <sz val="10"/>
            <color indexed="10"/>
            <rFont val="Tahoma"/>
            <family val="2"/>
          </rPr>
          <t>average tree count</t>
        </r>
        <r>
          <rPr>
            <sz val="10"/>
            <color indexed="81"/>
            <rFont val="Tahoma"/>
            <family val="2"/>
          </rPr>
          <t xml:space="preserve"> with that BAF.
  Alternatively, divide the basal area by the count you WANT, and that will calculate the BAF you should use for counting trees.</t>
        </r>
      </text>
    </comment>
    <comment ref="B16" authorId="0" shapeId="0" xr:uid="{E41AA115-CA18-4DE0-9FC1-2C9EB0509AD7}">
      <text>
        <r>
          <rPr>
            <sz val="10"/>
            <color indexed="81"/>
            <rFont val="Tahoma"/>
            <family val="2"/>
          </rPr>
          <t xml:space="preserve">  In this cell, enter the </t>
        </r>
        <r>
          <rPr>
            <sz val="10"/>
            <color indexed="10"/>
            <rFont val="Tahoma"/>
            <family val="2"/>
          </rPr>
          <t>number of *BAR measurements</t>
        </r>
        <r>
          <rPr>
            <sz val="10"/>
            <color indexed="81"/>
            <rFont val="Tahoma"/>
            <family val="2"/>
          </rPr>
          <t xml:space="preserve"> you intend to take.
  This is usually the </t>
        </r>
        <r>
          <rPr>
            <sz val="10"/>
            <color indexed="10"/>
            <rFont val="Tahoma"/>
            <family val="2"/>
          </rPr>
          <t>number of trees,</t>
        </r>
        <r>
          <rPr>
            <sz val="10"/>
            <color indexed="81"/>
            <rFont val="Tahoma"/>
            <family val="2"/>
          </rPr>
          <t xml:space="preserve"> and corresponds to the CV you entered for *BAR.
  In some cases, it is the number of entire clusters (all trees at a point) </t>
        </r>
        <r>
          <rPr>
            <u/>
            <sz val="10"/>
            <color indexed="81"/>
            <rFont val="Tahoma"/>
            <family val="2"/>
          </rPr>
          <t>IF</t>
        </r>
        <r>
          <rPr>
            <sz val="10"/>
            <color indexed="81"/>
            <rFont val="Tahoma"/>
            <family val="2"/>
          </rPr>
          <t xml:space="preserve"> that CV has been entered in the section above.</t>
        </r>
        <r>
          <rPr>
            <sz val="10"/>
            <color indexed="81"/>
            <rFont val="Tahoma"/>
            <family val="2"/>
          </rPr>
          <t xml:space="preserve">
</t>
        </r>
      </text>
    </comment>
    <comment ref="F16" authorId="0" shapeId="0" xr:uid="{B7739101-5FF2-4629-9DCA-CCC21B766EB9}">
      <text>
        <r>
          <rPr>
            <sz val="10"/>
            <color indexed="81"/>
            <rFont val="Tahoma"/>
            <family val="2"/>
          </rPr>
          <t xml:space="preserve">  This is the </t>
        </r>
        <r>
          <rPr>
            <sz val="10"/>
            <color indexed="10"/>
            <rFont val="Tahoma"/>
            <family val="2"/>
          </rPr>
          <t>SE% for the *BAR measurements,</t>
        </r>
        <r>
          <rPr>
            <sz val="10"/>
            <color indexed="81"/>
            <rFont val="Tahoma"/>
            <family val="2"/>
          </rPr>
          <t xml:space="preserve"> assuming the number that you are testing, as entered in cell C16.
</t>
        </r>
      </text>
    </comment>
    <comment ref="I16" authorId="0" shapeId="0" xr:uid="{5EAE8DD0-FA93-4C5A-8161-5F1185CD3250}">
      <text>
        <r>
          <rPr>
            <sz val="10"/>
            <color indexed="81"/>
            <rFont val="Tahoma"/>
            <family val="2"/>
          </rPr>
          <t xml:space="preserve">  This is </t>
        </r>
        <r>
          <rPr>
            <sz val="10"/>
            <color indexed="10"/>
            <rFont val="Tahoma"/>
            <family val="2"/>
          </rPr>
          <t xml:space="preserve">the total number of trees you will  </t>
        </r>
        <r>
          <rPr>
            <u/>
            <sz val="10"/>
            <color indexed="10"/>
            <rFont val="Tahoma"/>
            <family val="2"/>
          </rPr>
          <t>choose</t>
        </r>
        <r>
          <rPr>
            <sz val="10"/>
            <color indexed="10"/>
            <rFont val="Tahoma"/>
            <family val="2"/>
          </rPr>
          <t xml:space="preserve"> from (for *BAR) during the cruise</t>
        </r>
        <r>
          <rPr>
            <sz val="10"/>
            <color indexed="81"/>
            <rFont val="Tahoma"/>
            <family val="2"/>
          </rPr>
          <t xml:space="preserve"> that you are considering.
    You can use the "Big BAF" multiplier to choose a prism which will automatically select  the right number of trees to measure (if your estimate of average tree count is accurate).</t>
        </r>
      </text>
    </comment>
    <comment ref="D17" authorId="0" shapeId="0" xr:uid="{A00E0BB6-4A47-458D-AD2B-3464BFB66744}">
      <text>
        <r>
          <rPr>
            <sz val="10"/>
            <color indexed="81"/>
            <rFont val="Tahoma"/>
            <family val="2"/>
          </rPr>
          <t xml:space="preserve">  This indicates the </t>
        </r>
        <r>
          <rPr>
            <u/>
            <sz val="10"/>
            <color indexed="10"/>
            <rFont val="Tahoma"/>
            <family val="2"/>
          </rPr>
          <t>overall</t>
        </r>
        <r>
          <rPr>
            <sz val="10"/>
            <color indexed="10"/>
            <rFont val="Tahoma"/>
            <family val="2"/>
          </rPr>
          <t xml:space="preserve"> </t>
        </r>
        <r>
          <rPr>
            <u/>
            <sz val="10"/>
            <color indexed="10"/>
            <rFont val="Tahoma"/>
            <family val="2"/>
          </rPr>
          <t>relative</t>
        </r>
        <r>
          <rPr>
            <sz val="10"/>
            <color indexed="10"/>
            <rFont val="Tahoma"/>
            <family val="2"/>
          </rPr>
          <t xml:space="preserve"> efficiency of your tested alternative.</t>
        </r>
        <r>
          <rPr>
            <sz val="10"/>
            <color indexed="81"/>
            <rFont val="Tahoma"/>
            <family val="2"/>
          </rPr>
          <t xml:space="preserve">
  It is the </t>
        </r>
        <r>
          <rPr>
            <sz val="10"/>
            <color indexed="10"/>
            <rFont val="Tahoma"/>
            <family val="2"/>
          </rPr>
          <t>ratio of the total costs</t>
        </r>
        <r>
          <rPr>
            <sz val="10"/>
            <color indexed="81"/>
            <rFont val="Tahoma"/>
            <family val="2"/>
          </rPr>
          <t xml:space="preserve"> </t>
        </r>
        <r>
          <rPr>
            <b/>
            <sz val="10"/>
            <color indexed="10"/>
            <rFont val="Tahoma"/>
            <family val="2"/>
          </rPr>
          <t>IF</t>
        </r>
        <r>
          <rPr>
            <sz val="10"/>
            <color indexed="81"/>
            <rFont val="Tahoma"/>
            <family val="2"/>
          </rPr>
          <t xml:space="preserve"> you were to use the number of plots in italics to get the same SE% as the optimal solution (using </t>
        </r>
        <r>
          <rPr>
            <u/>
            <sz val="10"/>
            <color indexed="81"/>
            <rFont val="Tahoma"/>
            <family val="2"/>
          </rPr>
          <t>your</t>
        </r>
        <r>
          <rPr>
            <sz val="10"/>
            <color indexed="81"/>
            <rFont val="Tahoma"/>
            <family val="2"/>
          </rPr>
          <t xml:space="preserve"> less efficient </t>
        </r>
        <r>
          <rPr>
            <u/>
            <sz val="10"/>
            <color indexed="81"/>
            <rFont val="Tahoma"/>
            <family val="2"/>
          </rPr>
          <t>ratio</t>
        </r>
        <r>
          <rPr>
            <sz val="10"/>
            <color indexed="81"/>
            <rFont val="Tahoma"/>
            <family val="2"/>
          </rPr>
          <t xml:space="preserve"> of counts to measurements)</t>
        </r>
      </text>
    </comment>
    <comment ref="F17" authorId="0" shapeId="0" xr:uid="{200086C8-47A7-4AAE-828D-9F5751AADCA1}">
      <text>
        <r>
          <rPr>
            <sz val="10"/>
            <color indexed="81"/>
            <rFont val="Tahoma"/>
            <family val="2"/>
          </rPr>
          <t xml:space="preserve">  This is the </t>
        </r>
        <r>
          <rPr>
            <u/>
            <sz val="10"/>
            <color indexed="10"/>
            <rFont val="Tahoma"/>
            <family val="2"/>
          </rPr>
          <t>Total</t>
        </r>
        <r>
          <rPr>
            <sz val="10"/>
            <color indexed="10"/>
            <rFont val="Tahoma"/>
            <family val="2"/>
          </rPr>
          <t xml:space="preserve"> SE%, using the number of plots and measurements you are testing</t>
        </r>
        <r>
          <rPr>
            <sz val="10"/>
            <color indexed="81"/>
            <rFont val="Tahoma"/>
            <family val="2"/>
          </rPr>
          <t xml:space="preserve"> in this section.
  It may </t>
        </r>
        <r>
          <rPr>
            <i/>
            <sz val="10"/>
            <color indexed="81"/>
            <rFont val="Tahoma"/>
            <family val="2"/>
          </rPr>
          <t>intentionally</t>
        </r>
        <r>
          <rPr>
            <sz val="10"/>
            <color indexed="81"/>
            <rFont val="Tahoma"/>
            <family val="2"/>
          </rPr>
          <t xml:space="preserve"> not be exactly the same as the SE% you entered in the optimizing section above </t>
        </r>
        <r>
          <rPr>
            <sz val="10"/>
            <color indexed="10"/>
            <rFont val="Tahoma"/>
            <family val="2"/>
          </rPr>
          <t>{D9}</t>
        </r>
        <r>
          <rPr>
            <sz val="10"/>
            <color indexed="81"/>
            <rFont val="Tahoma"/>
            <family val="2"/>
          </rPr>
          <t xml:space="preserve">.  
  Having a few extra plots is usually a wise move, and this section will tell you what different alternatives will "cost", compared to ana "optimal" ratio and number -- </t>
        </r>
        <r>
          <rPr>
            <i/>
            <sz val="10"/>
            <color indexed="81"/>
            <rFont val="Tahoma"/>
            <family val="2"/>
          </rPr>
          <t>bear in mind,</t>
        </r>
        <r>
          <rPr>
            <sz val="10"/>
            <color indexed="81"/>
            <rFont val="Tahoma"/>
            <family val="2"/>
          </rPr>
          <t xml:space="preserve"> of course, that the CV's you entered in this program are only </t>
        </r>
        <r>
          <rPr>
            <u/>
            <sz val="10"/>
            <color indexed="81"/>
            <rFont val="Tahoma"/>
            <family val="2"/>
          </rPr>
          <t>estimates,</t>
        </r>
        <r>
          <rPr>
            <sz val="10"/>
            <color indexed="81"/>
            <rFont val="Tahoma"/>
            <family val="2"/>
          </rPr>
          <t xml:space="preserve"> and therefore any sample size calculations are </t>
        </r>
        <r>
          <rPr>
            <i/>
            <sz val="10"/>
            <color indexed="81"/>
            <rFont val="Tahoma"/>
            <family val="2"/>
          </rPr>
          <t>also</t>
        </r>
        <r>
          <rPr>
            <sz val="10"/>
            <color indexed="81"/>
            <rFont val="Tahoma"/>
            <family val="2"/>
          </rPr>
          <t xml:space="preserve"> only estimates.</t>
        </r>
      </text>
    </comment>
    <comment ref="I17" authorId="0" shapeId="0" xr:uid="{6F39F196-1FA1-4C79-9C49-3A9E3C3FFF46}">
      <text>
        <r>
          <rPr>
            <sz val="10"/>
            <color indexed="81"/>
            <rFont val="Tahoma"/>
            <family val="2"/>
          </rPr>
          <t xml:space="preserve">  This is the </t>
        </r>
        <r>
          <rPr>
            <sz val="10"/>
            <color indexed="10"/>
            <rFont val="Tahoma"/>
            <family val="2"/>
          </rPr>
          <t>number of fully measured plots you will be measuring during the cruise</t>
        </r>
        <r>
          <rPr>
            <sz val="10"/>
            <color indexed="81"/>
            <rFont val="Tahoma"/>
            <family val="2"/>
          </rPr>
          <t xml:space="preserve"> to get the required number of VBARs.
  You can check the "Big BAF multiplier" to find out how often that would occur.  For instance you might need 2.71 plots (obviously rounded to 3, and in 31 plots with 7 trees/plot to get about 19 trees.  That would be one per 11.42 plots (which would be the ratio in cell I14).  It would be better to select every 12th tree than to take them in 3 clusters like this.  </t>
        </r>
      </text>
    </comment>
    <comment ref="D18" authorId="0" shapeId="0" xr:uid="{495227C4-12E0-4E63-ADD0-5400CC6C61BA}">
      <text>
        <r>
          <rPr>
            <sz val="10"/>
            <color indexed="81"/>
            <rFont val="Tahoma"/>
            <family val="2"/>
          </rPr>
          <t xml:space="preserve">  This indicates the </t>
        </r>
        <r>
          <rPr>
            <sz val="10"/>
            <color indexed="10"/>
            <rFont val="Tahoma"/>
            <family val="2"/>
          </rPr>
          <t>field efficiency</t>
        </r>
        <r>
          <rPr>
            <sz val="10"/>
            <color indexed="81"/>
            <rFont val="Tahoma"/>
            <family val="2"/>
          </rPr>
          <t xml:space="preserve"> of your tested alternative.  It </t>
        </r>
        <r>
          <rPr>
            <sz val="10"/>
            <color indexed="10"/>
            <rFont val="Tahoma"/>
            <family val="2"/>
          </rPr>
          <t>pays no attention to the fixed costs.</t>
        </r>
        <r>
          <rPr>
            <sz val="10"/>
            <color indexed="81"/>
            <rFont val="Tahoma"/>
            <family val="2"/>
          </rPr>
          <t xml:space="preserve">
  It is the </t>
        </r>
        <r>
          <rPr>
            <sz val="10"/>
            <color indexed="10"/>
            <rFont val="Tahoma"/>
            <family val="2"/>
          </rPr>
          <t xml:space="preserve">ratio of the total costs </t>
        </r>
        <r>
          <rPr>
            <b/>
            <sz val="10"/>
            <color indexed="10"/>
            <rFont val="Tahoma"/>
            <family val="2"/>
          </rPr>
          <t>IF</t>
        </r>
        <r>
          <rPr>
            <sz val="10"/>
            <color indexed="81"/>
            <rFont val="Tahoma"/>
            <family val="2"/>
          </rPr>
          <t xml:space="preserve"> you were to use the number of plots in italics to get the </t>
        </r>
        <r>
          <rPr>
            <sz val="10"/>
            <color indexed="10"/>
            <rFont val="Tahoma"/>
            <family val="2"/>
          </rPr>
          <t>same SE%</t>
        </r>
        <r>
          <rPr>
            <sz val="10"/>
            <color indexed="81"/>
            <rFont val="Tahoma"/>
            <family val="2"/>
          </rPr>
          <t xml:space="preserve"> as the optimal solution (using </t>
        </r>
        <r>
          <rPr>
            <u/>
            <sz val="10"/>
            <color indexed="81"/>
            <rFont val="Tahoma"/>
            <family val="2"/>
          </rPr>
          <t>your</t>
        </r>
        <r>
          <rPr>
            <sz val="10"/>
            <color indexed="81"/>
            <rFont val="Tahoma"/>
            <family val="2"/>
          </rPr>
          <t xml:space="preserve"> less efficient </t>
        </r>
        <r>
          <rPr>
            <u/>
            <sz val="10"/>
            <color indexed="81"/>
            <rFont val="Tahoma"/>
            <family val="2"/>
          </rPr>
          <t>ratio</t>
        </r>
        <r>
          <rPr>
            <sz val="10"/>
            <color indexed="81"/>
            <rFont val="Tahoma"/>
            <family val="2"/>
          </rPr>
          <t xml:space="preserve"> of counts to measurements)</t>
        </r>
      </text>
    </comment>
    <comment ref="F18" authorId="0" shapeId="0" xr:uid="{267D866C-3713-4913-BDDA-E5B9D8EE5495}">
      <text>
        <r>
          <rPr>
            <sz val="10"/>
            <color indexed="81"/>
            <rFont val="Tahoma"/>
            <family val="2"/>
          </rPr>
          <t xml:space="preserve">  This is the </t>
        </r>
        <r>
          <rPr>
            <sz val="10"/>
            <color indexed="10"/>
            <rFont val="Tahoma"/>
            <family val="2"/>
          </rPr>
          <t>overall cost</t>
        </r>
        <r>
          <rPr>
            <sz val="10"/>
            <color indexed="81"/>
            <rFont val="Tahoma"/>
            <family val="2"/>
          </rPr>
          <t xml:space="preserve"> of the cruise plan you are testing.</t>
        </r>
      </text>
    </comment>
    <comment ref="I18" authorId="0" shapeId="0" xr:uid="{9F5997C6-3FD6-4D08-9302-D10A4CD6EF7A}">
      <text>
        <r>
          <rPr>
            <sz val="10"/>
            <color indexed="81"/>
            <rFont val="Tahoma"/>
            <family val="2"/>
          </rPr>
          <t xml:space="preserve">  This is the average </t>
        </r>
        <r>
          <rPr>
            <sz val="10"/>
            <color indexed="10"/>
            <rFont val="Tahoma"/>
            <family val="2"/>
          </rPr>
          <t>cost per sample point visited.</t>
        </r>
        <r>
          <rPr>
            <sz val="10"/>
            <color indexed="81"/>
            <rFont val="Tahoma"/>
            <family val="2"/>
          </rPr>
          <t xml:space="preserve">  
  It cannot be strictly compared to the other cost per point in cell G11, since different schemes are used.  </t>
        </r>
      </text>
    </comment>
    <comment ref="F19" authorId="0" shapeId="0" xr:uid="{8628E843-88B7-40BD-B6F2-B82BF5F0800F}">
      <text>
        <r>
          <rPr>
            <sz val="10"/>
            <color indexed="81"/>
            <rFont val="Tahoma"/>
            <family val="2"/>
          </rPr>
          <t xml:space="preserve">  </t>
        </r>
        <r>
          <rPr>
            <sz val="10"/>
            <color indexed="12"/>
            <rFont val="Tahoma"/>
            <family val="2"/>
          </rPr>
          <t>This is the</t>
        </r>
        <r>
          <rPr>
            <sz val="10"/>
            <color indexed="81"/>
            <rFont val="Tahoma"/>
            <family val="2"/>
          </rPr>
          <t xml:space="preserve"> </t>
        </r>
        <r>
          <rPr>
            <sz val="10"/>
            <color indexed="10"/>
            <rFont val="Tahoma"/>
            <family val="2"/>
          </rPr>
          <t>relative cost percentage of the cruise you are testing vs. the optimal solution.</t>
        </r>
        <r>
          <rPr>
            <sz val="10"/>
            <color indexed="81"/>
            <rFont val="Tahoma"/>
            <family val="2"/>
          </rPr>
          <t xml:space="preserve">  
  Bear in mind that it </t>
        </r>
        <r>
          <rPr>
            <sz val="10"/>
            <color indexed="10"/>
            <rFont val="Tahoma"/>
            <family val="2"/>
          </rPr>
          <t>may be for a different SE%,</t>
        </r>
        <r>
          <rPr>
            <sz val="10"/>
            <color indexed="81"/>
            <rFont val="Tahoma"/>
            <family val="2"/>
          </rPr>
          <t xml:space="preserve"> and therefore may look more or less efficient than getting exactly the same result.  
  </t>
        </r>
        <r>
          <rPr>
            <sz val="10"/>
            <color indexed="10"/>
            <rFont val="Tahoma"/>
            <family val="2"/>
          </rPr>
          <t xml:space="preserve">This comparison is for the </t>
        </r>
        <r>
          <rPr>
            <u/>
            <sz val="10"/>
            <color indexed="10"/>
            <rFont val="Tahoma"/>
            <family val="2"/>
          </rPr>
          <t>overall</t>
        </r>
        <r>
          <rPr>
            <sz val="10"/>
            <color indexed="10"/>
            <rFont val="Tahoma"/>
            <family val="2"/>
          </rPr>
          <t xml:space="preserve"> plan, and may include a decision to oversample, for instance.
   </t>
        </r>
        <r>
          <rPr>
            <b/>
            <sz val="10"/>
            <color indexed="10"/>
            <rFont val="Tahoma"/>
            <family val="2"/>
          </rPr>
          <t>Comparitive</t>
        </r>
        <r>
          <rPr>
            <sz val="10"/>
            <color indexed="12"/>
            <rFont val="Tahoma"/>
            <family val="2"/>
          </rPr>
          <t xml:space="preserve"> efficiency is available in Cells {D, 17 &amp; 18}</t>
        </r>
      </text>
    </comment>
    <comment ref="G19" authorId="0" shapeId="0" xr:uid="{D59445EC-776F-46A5-B5E4-D4B35996C718}">
      <text>
        <r>
          <rPr>
            <sz val="10"/>
            <color indexed="81"/>
            <rFont val="Tahoma"/>
            <family val="2"/>
          </rPr>
          <t xml:space="preserve">  This is the </t>
        </r>
        <r>
          <rPr>
            <sz val="10"/>
            <color indexed="10"/>
            <rFont val="Tahoma"/>
            <family val="2"/>
          </rPr>
          <t>efficiency of the cruise you are testing vs. the optimal solution.</t>
        </r>
        <r>
          <rPr>
            <sz val="10"/>
            <color indexed="81"/>
            <rFont val="Tahoma"/>
            <family val="2"/>
          </rPr>
          <t xml:space="preserve">  
  Bear in mind that it </t>
        </r>
        <r>
          <rPr>
            <sz val="10"/>
            <color indexed="10"/>
            <rFont val="Tahoma"/>
            <family val="2"/>
          </rPr>
          <t>may be for a different SE%,</t>
        </r>
        <r>
          <rPr>
            <sz val="10"/>
            <color indexed="81"/>
            <rFont val="Tahoma"/>
            <family val="2"/>
          </rPr>
          <t xml:space="preserve"> and therefore may look more or less efficient than when you get exactly the same result.  
  That is why the </t>
        </r>
        <r>
          <rPr>
            <sz val="10"/>
            <color indexed="10"/>
            <rFont val="Tahoma"/>
            <family val="2"/>
          </rPr>
          <t>other efficiencies</t>
        </r>
        <r>
          <rPr>
            <sz val="10"/>
            <color indexed="81"/>
            <rFont val="Tahoma"/>
            <family val="2"/>
          </rPr>
          <t xml:space="preserve"> (cells D17,18) are included, because they include </t>
        </r>
        <r>
          <rPr>
            <u/>
            <sz val="10"/>
            <color indexed="81"/>
            <rFont val="Tahoma"/>
            <family val="2"/>
          </rPr>
          <t>only</t>
        </r>
        <r>
          <rPr>
            <sz val="10"/>
            <color indexed="81"/>
            <rFont val="Tahoma"/>
            <family val="2"/>
          </rPr>
          <t xml:space="preserve"> the difference </t>
        </r>
        <r>
          <rPr>
            <u/>
            <sz val="10"/>
            <color indexed="81"/>
            <rFont val="Tahoma"/>
            <family val="2"/>
          </rPr>
          <t>due to the ratio</t>
        </r>
        <r>
          <rPr>
            <sz val="10"/>
            <color indexed="81"/>
            <rFont val="Tahoma"/>
            <family val="2"/>
          </rPr>
          <t xml:space="preserve"> of C:M you are testing.
  </t>
        </r>
        <r>
          <rPr>
            <b/>
            <sz val="10"/>
            <color indexed="81"/>
            <rFont val="Tahoma"/>
            <family val="2"/>
          </rPr>
          <t>This</t>
        </r>
        <r>
          <rPr>
            <sz val="10"/>
            <color indexed="81"/>
            <rFont val="Tahoma"/>
            <family val="2"/>
          </rPr>
          <t xml:space="preserve"> comparison is for the </t>
        </r>
        <r>
          <rPr>
            <sz val="10"/>
            <color indexed="10"/>
            <rFont val="Tahoma"/>
            <family val="2"/>
          </rPr>
          <t>overall</t>
        </r>
        <r>
          <rPr>
            <sz val="10"/>
            <color indexed="81"/>
            <rFont val="Tahoma"/>
            <family val="2"/>
          </rPr>
          <t xml:space="preserve"> plan, and may include a decision to oversample, for instance.</t>
        </r>
      </text>
    </comment>
    <comment ref="I19" authorId="0" shapeId="0" xr:uid="{2A5BD6CD-4133-4382-A12F-B29869231B3C}">
      <text>
        <r>
          <rPr>
            <sz val="10"/>
            <color indexed="81"/>
            <rFont val="Tahoma"/>
            <family val="2"/>
          </rPr>
          <t xml:space="preserve">  There is not really a CV for Variable Plot sampling when you use count and measure plots, because the variability depends on the ratio of C:M plots.
  </t>
        </r>
        <r>
          <rPr>
            <sz val="10"/>
            <color indexed="10"/>
            <rFont val="Tahoma"/>
            <family val="2"/>
          </rPr>
          <t>If you want a reasonable approximation to the CV,</t>
        </r>
        <r>
          <rPr>
            <sz val="10"/>
            <color indexed="81"/>
            <rFont val="Tahoma"/>
            <family val="2"/>
          </rPr>
          <t xml:space="preserve"> using the  ratio you are testing, then this is a good one.
  If you want to calculate some other sample size, this can be plugged into the standard equations.</t>
        </r>
      </text>
    </comment>
    <comment ref="B20" authorId="0" shapeId="0" xr:uid="{A56E872D-CE9D-44E0-893A-062D989AC4EC}">
      <text>
        <r>
          <rPr>
            <sz val="10"/>
            <color indexed="10"/>
            <rFont val="Tahoma"/>
            <family val="2"/>
          </rPr>
          <t>Yellow</t>
        </r>
        <r>
          <rPr>
            <sz val="10"/>
            <color indexed="81"/>
            <rFont val="Tahoma"/>
            <family val="2"/>
          </rPr>
          <t xml:space="preserve"> Items are ones you fill in.
</t>
        </r>
        <r>
          <rPr>
            <sz val="10"/>
            <color indexed="10"/>
            <rFont val="Tahoma"/>
            <family val="2"/>
          </rPr>
          <t>Gold</t>
        </r>
        <r>
          <rPr>
            <sz val="10"/>
            <color indexed="81"/>
            <rFont val="Tahoma"/>
            <family val="2"/>
          </rPr>
          <t xml:space="preserve"> are optional
</t>
        </r>
        <r>
          <rPr>
            <sz val="10"/>
            <color indexed="10"/>
            <rFont val="Tahoma"/>
            <family val="2"/>
          </rPr>
          <t>Grey</t>
        </r>
        <r>
          <rPr>
            <sz val="10"/>
            <color indexed="81"/>
            <rFont val="Tahoma"/>
            <family val="2"/>
          </rPr>
          <t xml:space="preserve"> are computed items
   </t>
        </r>
        <r>
          <rPr>
            <sz val="10"/>
            <color indexed="10"/>
            <rFont val="Tahoma"/>
            <family val="2"/>
          </rPr>
          <t>Dark Blue section</t>
        </r>
        <r>
          <rPr>
            <sz val="10"/>
            <color indexed="81"/>
            <rFont val="Tahoma"/>
            <family val="2"/>
          </rPr>
          <t xml:space="preserve">s are for information.
   Other colors are for organization.
A </t>
        </r>
        <r>
          <rPr>
            <sz val="10"/>
            <color indexed="10"/>
            <rFont val="Tahoma"/>
            <family val="2"/>
          </rPr>
          <t>red triangle in the corner of a cell</t>
        </r>
        <r>
          <rPr>
            <sz val="10"/>
            <color indexed="81"/>
            <rFont val="Tahoma"/>
            <family val="2"/>
          </rPr>
          <t xml:space="preserve"> means that a comment is available about it.  Put the cursor there, and it will pop up.</t>
        </r>
        <r>
          <rPr>
            <b/>
            <sz val="10"/>
            <color indexed="81"/>
            <rFont val="Tahoma"/>
            <family val="2"/>
          </rPr>
          <t xml:space="preserve">
</t>
        </r>
      </text>
    </comment>
    <comment ref="C20" authorId="0" shapeId="0" xr:uid="{89F36ACD-CC67-49CB-BED4-1221E80849C9}">
      <text>
        <r>
          <rPr>
            <sz val="10"/>
            <color indexed="18"/>
            <rFont val="Tahoma"/>
            <family val="2"/>
          </rPr>
          <t xml:space="preserve">  The comments are shown when you are on a cell with a red triangle in the upper right (or if that cell is frequently filled in, the red triangle and comment is on the cell next to it).
  </t>
        </r>
        <r>
          <rPr>
            <sz val="10"/>
            <color indexed="10"/>
            <rFont val="Tahoma"/>
            <family val="2"/>
          </rPr>
          <t>If the comments flow off the screen,</t>
        </r>
        <r>
          <rPr>
            <sz val="10"/>
            <color indexed="18"/>
            <rFont val="Tahoma"/>
            <family val="2"/>
          </rPr>
          <t xml:space="preserve"> hold down the left mouse button and drag until the whole comment is visible.
  </t>
        </r>
        <r>
          <rPr>
            <sz val="10"/>
            <color indexed="10"/>
            <rFont val="Tahoma"/>
            <family val="2"/>
          </rPr>
          <t>You can turn off all these comments</t>
        </r>
        <r>
          <rPr>
            <sz val="10"/>
            <color indexed="18"/>
            <rFont val="Tahoma"/>
            <family val="2"/>
          </rPr>
          <t xml:space="preserve"> once you are familiar with the spreadsheet, using  
      {Tools/options/view/comments/none}
If you turn off the comments, you can always check them on the "demo copy" worksheet, which does not compute numbers.</t>
        </r>
        <r>
          <rPr>
            <b/>
            <sz val="10"/>
            <color indexed="81"/>
            <rFont val="Tahoma"/>
            <family val="2"/>
          </rPr>
          <t xml:space="preserve">
</t>
        </r>
      </text>
    </comment>
    <comment ref="D20" authorId="0" shapeId="0" xr:uid="{0FFD060E-4B7C-4D5F-BD8A-0F62DE034CF8}">
      <text>
        <r>
          <rPr>
            <sz val="10"/>
            <color indexed="18"/>
            <rFont val="Tahoma"/>
            <family val="2"/>
          </rPr>
          <t xml:space="preserve">  </t>
        </r>
        <r>
          <rPr>
            <sz val="10"/>
            <color indexed="10"/>
            <rFont val="Tahoma"/>
            <family val="2"/>
          </rPr>
          <t>If you never use some items,</t>
        </r>
        <r>
          <rPr>
            <sz val="10"/>
            <color indexed="18"/>
            <rFont val="Tahoma"/>
            <family val="2"/>
          </rPr>
          <t xml:space="preserve"> and don’t want them to clutter the spreadsheet, just </t>
        </r>
        <r>
          <rPr>
            <u/>
            <sz val="10"/>
            <color indexed="18"/>
            <rFont val="Tahoma"/>
            <family val="2"/>
          </rPr>
          <t>unprotect</t>
        </r>
        <r>
          <rPr>
            <sz val="10"/>
            <color indexed="18"/>
            <rFont val="Tahoma"/>
            <family val="2"/>
          </rPr>
          <t xml:space="preserve"> the worksheet and blank out the choices and results.
</t>
        </r>
        <r>
          <rPr>
            <b/>
            <sz val="10"/>
            <color indexed="10"/>
            <rFont val="Tahoma"/>
            <family val="2"/>
          </rPr>
          <t xml:space="preserve">  Better yet</t>
        </r>
        <r>
          <rPr>
            <sz val="10"/>
            <color indexed="10"/>
            <rFont val="Tahoma"/>
            <family val="2"/>
          </rPr>
          <t xml:space="preserve">, </t>
        </r>
        <r>
          <rPr>
            <sz val="10"/>
            <color indexed="18"/>
            <rFont val="Tahoma"/>
            <family val="2"/>
          </rPr>
          <t xml:space="preserve">make the text the same color as the background, then you can reverse the process later, </t>
        </r>
        <r>
          <rPr>
            <u/>
            <sz val="10"/>
            <color indexed="18"/>
            <rFont val="Tahoma"/>
            <family val="2"/>
          </rPr>
          <t>and</t>
        </r>
        <r>
          <rPr>
            <sz val="10"/>
            <color indexed="18"/>
            <rFont val="Tahoma"/>
            <family val="2"/>
          </rPr>
          <t xml:space="preserve"> you will not mess up any computations.
  </t>
        </r>
        <r>
          <rPr>
            <sz val="10"/>
            <color indexed="10"/>
            <rFont val="Tahoma"/>
            <family val="2"/>
          </rPr>
          <t>If you don't want people to change or use some of the options,</t>
        </r>
        <r>
          <rPr>
            <sz val="10"/>
            <color indexed="18"/>
            <rFont val="Tahoma"/>
            <family val="2"/>
          </rPr>
          <t xml:space="preserve"> you can lock that item by :
  { format/ cells/ protection/ locked }</t>
        </r>
      </text>
    </comment>
    <comment ref="E20" authorId="3" shapeId="0" xr:uid="{E4C379E5-A052-4D2D-9ACE-620B3A51FC07}">
      <text>
        <r>
          <rPr>
            <sz val="10"/>
            <color indexed="81"/>
            <rFont val="Tahoma"/>
            <family val="2"/>
          </rPr>
          <t xml:space="preserve">   
 </t>
        </r>
        <r>
          <rPr>
            <b/>
            <sz val="10"/>
            <color indexed="10"/>
            <rFont val="Tahoma"/>
            <family val="2"/>
          </rPr>
          <t>Version : August 20, 2003,</t>
        </r>
        <r>
          <rPr>
            <sz val="10"/>
            <color indexed="81"/>
            <rFont val="Tahoma"/>
            <family val="2"/>
          </rPr>
          <t xml:space="preserve">
   This program is provided by</t>
        </r>
        <r>
          <rPr>
            <sz val="10"/>
            <color indexed="10"/>
            <rFont val="Tahoma"/>
            <family val="2"/>
          </rPr>
          <t xml:space="preserve"> Dr. Kim Iles</t>
        </r>
        <r>
          <rPr>
            <sz val="10"/>
            <color indexed="8"/>
            <rFont val="Tahoma"/>
            <family val="2"/>
          </rPr>
          <t>,</t>
        </r>
        <r>
          <rPr>
            <sz val="10"/>
            <color indexed="81"/>
            <rFont val="Tahoma"/>
            <family val="2"/>
          </rPr>
          <t xml:space="preserve"> Biometrician and consultant in Forest Inventory &amp; Statistics. 
   To receive newer versions, send me an e-mail.
       </t>
        </r>
        <r>
          <rPr>
            <sz val="10"/>
            <color indexed="10"/>
            <rFont val="Tahoma"/>
            <family val="2"/>
          </rPr>
          <t xml:space="preserve">If you find this spreadsheet of use, you owe me a 
thank-you note, other than that ... it is free.  </t>
        </r>
        <r>
          <rPr>
            <sz val="10"/>
            <color indexed="81"/>
            <rFont val="Tahoma"/>
            <family val="2"/>
          </rPr>
          <t xml:space="preserve">
I am always interested in your suggestions for improvement.
(</t>
        </r>
        <r>
          <rPr>
            <b/>
            <sz val="10"/>
            <color indexed="81"/>
            <rFont val="Tahoma"/>
            <family val="2"/>
          </rPr>
          <t>I obviously cannot be held responsible for accuracy,</t>
        </r>
        <r>
          <rPr>
            <sz val="10"/>
            <color indexed="81"/>
            <rFont val="Tahoma"/>
            <family val="2"/>
          </rPr>
          <t xml:space="preserve"> since the program can be changed locally.  If in doubt, check with me - but it is as close to accurate as I can make it).
   Kim Iles &amp; Associates Ltd.
   412 Valley Place,
   Nanaimo, BC, CANADA
       V9R 6A6
Currently:
        Phone &amp; FAX : (250) 616-1413
        e-mail : kiles@island.net
</t>
        </r>
      </text>
    </comment>
    <comment ref="F20" authorId="0" shapeId="0" xr:uid="{EE3A3A47-478A-4D2D-92F8-567494B675F4}">
      <text>
        <r>
          <rPr>
            <sz val="10"/>
            <color indexed="81"/>
            <rFont val="Tahoma"/>
            <family val="2"/>
          </rPr>
          <t xml:space="preserve">  I have removed any earlier edition macros for printing.
  The rest of the sections can be printed using EXCEL commands.  I have chosen the colors so they work with my laser black and white printer.  The print area is initially set to print a black and white version starting about line 100.
</t>
        </r>
      </text>
    </comment>
    <comment ref="G20" authorId="0" shapeId="0" xr:uid="{D2E87E0A-A91A-4493-8C15-EBE8C50D688F}">
      <text>
        <r>
          <rPr>
            <sz val="10"/>
            <color indexed="18"/>
            <rFont val="Tahoma"/>
            <family val="2"/>
          </rPr>
          <t xml:space="preserve"> 
 There are no Macro's to print the results - you might want to add some.  The presence of macros disturbes some people, because they are worried about viruses.
   There were no viruses on the discs or e-mail that I distributed.</t>
        </r>
      </text>
    </comment>
    <comment ref="H20" authorId="0" shapeId="0" xr:uid="{0C7E1E27-ED67-4ED3-9181-FFB5DFF18A5D}">
      <text>
        <r>
          <rPr>
            <sz val="10"/>
            <color indexed="18"/>
            <rFont val="Tahoma"/>
            <family val="2"/>
          </rPr>
          <t xml:space="preserve"> 
  I have attempted to provide both metric and English measurements wherever possible.
  If you </t>
        </r>
        <r>
          <rPr>
            <u/>
            <sz val="10"/>
            <color indexed="18"/>
            <rFont val="Tahoma"/>
            <family val="2"/>
          </rPr>
          <t>never</t>
        </r>
        <r>
          <rPr>
            <sz val="10"/>
            <color indexed="18"/>
            <rFont val="Tahoma"/>
            <family val="2"/>
          </rPr>
          <t xml:space="preserve"> use metric (or english) just unprotect the worksheet and blank out the choices and results </t>
        </r>
        <r>
          <rPr>
            <sz val="10"/>
            <color indexed="10"/>
            <rFont val="Tahoma"/>
            <family val="2"/>
          </rPr>
          <t xml:space="preserve">(or, </t>
        </r>
        <r>
          <rPr>
            <u/>
            <sz val="10"/>
            <color indexed="10"/>
            <rFont val="Tahoma"/>
            <family val="2"/>
          </rPr>
          <t>better yet,</t>
        </r>
        <r>
          <rPr>
            <sz val="10"/>
            <color indexed="10"/>
            <rFont val="Tahoma"/>
            <family val="2"/>
          </rPr>
          <t xml:space="preserve"> make the text the same color as the background, which will keep it in case you need it later).
</t>
        </r>
      </text>
    </comment>
    <comment ref="I20" authorId="0" shapeId="0" xr:uid="{E66236DB-43F5-4AC5-AD4A-781F6847ABFB}">
      <text>
        <r>
          <rPr>
            <sz val="10"/>
            <color indexed="18"/>
            <rFont val="Tahoma"/>
            <family val="2"/>
          </rPr>
          <t xml:space="preserve">   </t>
        </r>
        <r>
          <rPr>
            <sz val="10"/>
            <color indexed="10"/>
            <rFont val="Tahoma"/>
            <family val="2"/>
          </rPr>
          <t>If you need to refresh the spreadsheet,</t>
        </r>
        <r>
          <rPr>
            <sz val="10"/>
            <color indexed="18"/>
            <rFont val="Tahoma"/>
            <family val="2"/>
          </rPr>
          <t xml:space="preserve"> because it has been corrupted in some way, you can get a copy sent to you by simply emailing me.  
   </t>
        </r>
        <r>
          <rPr>
            <sz val="10"/>
            <color indexed="10"/>
            <rFont val="Tahoma"/>
            <family val="2"/>
          </rPr>
          <t>Do this every once in a while anyway,</t>
        </r>
        <r>
          <rPr>
            <sz val="10"/>
            <color indexed="18"/>
            <rFont val="Tahoma"/>
            <family val="2"/>
          </rPr>
          <t xml:space="preserve"> because I keep improving it.
   Give copies to whoever would like one - you have my permission.</t>
        </r>
      </text>
    </comment>
    <comment ref="C21" authorId="0" shapeId="0" xr:uid="{392F79F4-17F3-49E3-BE8C-AFC36C3CCACD}">
      <text>
        <r>
          <rPr>
            <sz val="10"/>
            <color indexed="18"/>
            <rFont val="Tahoma"/>
            <family val="2"/>
          </rPr>
          <t xml:space="preserve">  This spreadsheet is initially "protected", meaning that you can only change certain items.
  If </t>
        </r>
        <r>
          <rPr>
            <u/>
            <sz val="10"/>
            <color indexed="18"/>
            <rFont val="Tahoma"/>
            <family val="2"/>
          </rPr>
          <t>you want to make changes,</t>
        </r>
        <r>
          <rPr>
            <sz val="10"/>
            <color indexed="18"/>
            <rFont val="Tahoma"/>
            <family val="2"/>
          </rPr>
          <t xml:space="preserve"> such as eliminating all metric answers or computing English answers from the metric equivalents, </t>
        </r>
        <r>
          <rPr>
            <sz val="10"/>
            <color indexed="10"/>
            <rFont val="Tahoma"/>
            <family val="2"/>
          </rPr>
          <t>you can turn off the protection</t>
        </r>
        <r>
          <rPr>
            <sz val="10"/>
            <color indexed="18"/>
            <rFont val="Tahoma"/>
            <family val="2"/>
          </rPr>
          <t xml:space="preserve"> using :
     {tools/protection/unprotect sheet}.</t>
        </r>
        <r>
          <rPr>
            <b/>
            <sz val="10"/>
            <color indexed="81"/>
            <rFont val="Tahoma"/>
            <family val="2"/>
          </rPr>
          <t xml:space="preserve">
</t>
        </r>
        <r>
          <rPr>
            <sz val="10"/>
            <color indexed="81"/>
            <rFont val="Tahoma"/>
            <family val="2"/>
          </rPr>
          <t xml:space="preserve">Then you can change titles, comments, lock some cells closed, etc.
  </t>
        </r>
        <r>
          <rPr>
            <sz val="10"/>
            <color indexed="10"/>
            <rFont val="Tahoma"/>
            <family val="2"/>
          </rPr>
          <t>Afterwards, turn the protection on again</t>
        </r>
        <r>
          <rPr>
            <sz val="10"/>
            <color indexed="81"/>
            <rFont val="Tahoma"/>
            <family val="2"/>
          </rPr>
          <t xml:space="preserve"> so you do not destroy cells with equations in them by mistake.</t>
        </r>
      </text>
    </comment>
    <comment ref="D21" authorId="0" shapeId="0" xr:uid="{0E535164-AFE0-4804-8088-D638E9223AC9}">
      <text>
        <r>
          <rPr>
            <sz val="10"/>
            <color indexed="18"/>
            <rFont val="Tahoma"/>
            <family val="2"/>
          </rPr>
          <t xml:space="preserve">1)  Enter an </t>
        </r>
        <r>
          <rPr>
            <sz val="10"/>
            <color indexed="10"/>
            <rFont val="Tahoma"/>
            <family val="2"/>
          </rPr>
          <t>initial number</t>
        </r>
        <r>
          <rPr>
            <sz val="10"/>
            <color indexed="18"/>
            <rFont val="Tahoma"/>
            <family val="2"/>
          </rPr>
          <t xml:space="preserve"> and see the results.
2)  Try an</t>
        </r>
        <r>
          <rPr>
            <sz val="10"/>
            <color indexed="10"/>
            <rFont val="Tahoma"/>
            <family val="2"/>
          </rPr>
          <t xml:space="preserve"> alternative</t>
        </r>
        <r>
          <rPr>
            <sz val="10"/>
            <color indexed="18"/>
            <rFont val="Tahoma"/>
            <family val="2"/>
          </rPr>
          <t xml:space="preserve"> </t>
        </r>
        <r>
          <rPr>
            <sz val="10"/>
            <color indexed="10"/>
            <rFont val="Tahoma"/>
            <family val="2"/>
          </rPr>
          <t>number</t>
        </r>
        <r>
          <rPr>
            <sz val="10"/>
            <color indexed="18"/>
            <rFont val="Tahoma"/>
            <family val="2"/>
          </rPr>
          <t xml:space="preserve"> to see the difference.
3)  </t>
        </r>
        <r>
          <rPr>
            <sz val="10"/>
            <color indexed="10"/>
            <rFont val="Tahoma"/>
            <family val="2"/>
          </rPr>
          <t>Use the "undo" and "redo" commands</t>
        </r>
        <r>
          <rPr>
            <sz val="10"/>
            <color indexed="18"/>
            <rFont val="Tahoma"/>
            <family val="2"/>
          </rPr>
          <t xml:space="preserve"> to change back and forth between the two answers to see the effect. </t>
        </r>
      </text>
    </comment>
    <comment ref="E21" authorId="2" shapeId="0" xr:uid="{ED2FD5D9-D91F-4269-92A7-FE17908F9CB6}">
      <text>
        <r>
          <rPr>
            <sz val="10"/>
            <color indexed="81"/>
            <rFont val="Tahoma"/>
            <family val="2"/>
          </rPr>
          <t xml:space="preserve"> 
   Learn to use the "Goal Seek" function under "tools/goal seek".  It will automatically change one item until another is what you want it to be.  
   As an example, you could change the SE% until the project becomes a specific cost.</t>
        </r>
      </text>
    </comment>
    <comment ref="F21" authorId="2" shapeId="0" xr:uid="{E7EF270A-7090-44A2-85EB-CE624F0793F1}">
      <text>
        <r>
          <rPr>
            <sz val="10"/>
            <color indexed="81"/>
            <rFont val="Tahoma"/>
            <family val="2"/>
          </rPr>
          <t xml:space="preserve">   If you double click the icon "documentation" {about cell K8} you will get an MSWord document that explains the program.
Also, look at "Comments"</t>
        </r>
      </text>
    </comment>
    <comment ref="H22" authorId="0" shapeId="0" xr:uid="{833B20AE-0876-4D21-BC6C-11FD4ED221DF}">
      <text>
        <r>
          <rPr>
            <sz val="10"/>
            <color indexed="81"/>
            <rFont val="Tahoma"/>
            <family val="2"/>
          </rPr>
          <t xml:space="preserve">This is just the </t>
        </r>
        <r>
          <rPr>
            <sz val="10"/>
            <color indexed="10"/>
            <rFont val="Tahoma"/>
            <family val="2"/>
          </rPr>
          <t>desired SE%</t>
        </r>
        <r>
          <rPr>
            <sz val="10"/>
            <color indexed="81"/>
            <rFont val="Tahoma"/>
            <family val="2"/>
          </rPr>
          <t xml:space="preserve"> you entered from the first section, cell {D9}.</t>
        </r>
      </text>
    </comment>
    <comment ref="I23" authorId="0" shapeId="0" xr:uid="{8FD47681-4581-448D-A047-3CFE16DEB334}">
      <text>
        <r>
          <rPr>
            <sz val="10"/>
            <color indexed="81"/>
            <rFont val="Tahoma"/>
            <family val="2"/>
          </rPr>
          <t xml:space="preserve">  This is the </t>
        </r>
        <r>
          <rPr>
            <sz val="10"/>
            <color indexed="10"/>
            <rFont val="Tahoma"/>
            <family val="2"/>
          </rPr>
          <t>average tree count</t>
        </r>
        <r>
          <rPr>
            <sz val="10"/>
            <color indexed="81"/>
            <rFont val="Tahoma"/>
            <family val="2"/>
          </rPr>
          <t xml:space="preserve"> 
expected during the cruise.
   This is normally the same as the average tree count in H15, and in the </t>
        </r>
        <r>
          <rPr>
            <i/>
            <sz val="10"/>
            <color indexed="81"/>
            <rFont val="Tahoma"/>
            <family val="2"/>
          </rPr>
          <t>initial</t>
        </r>
        <r>
          <rPr>
            <sz val="10"/>
            <color indexed="81"/>
            <rFont val="Tahoma"/>
            <family val="2"/>
          </rPr>
          <t xml:space="preserve"> spreadsheet it just copied cell H15 automatically.</t>
        </r>
      </text>
    </comment>
    <comment ref="C24" authorId="0" shapeId="0" xr:uid="{FEDF6AC7-E93F-4386-B5F5-FF4B7659EBE2}">
      <text>
        <r>
          <rPr>
            <sz val="10"/>
            <color indexed="81"/>
            <rFont val="Tahoma"/>
            <family val="2"/>
          </rPr>
          <t xml:space="preserve">This is the </t>
        </r>
        <r>
          <rPr>
            <sz val="10"/>
            <color indexed="10"/>
            <rFont val="Tahoma"/>
            <family val="2"/>
          </rPr>
          <t>number of tree counts</t>
        </r>
        <r>
          <rPr>
            <sz val="10"/>
            <color indexed="81"/>
            <rFont val="Tahoma"/>
            <family val="2"/>
          </rPr>
          <t xml:space="preserve"> you need to take to produce the SE% you entered (copied into cell H22 from D9).</t>
        </r>
      </text>
    </comment>
    <comment ref="D24" authorId="0" shapeId="0" xr:uid="{EE287A17-A98C-4776-B2E2-AD7A498DABA3}">
      <text>
        <r>
          <rPr>
            <sz val="10"/>
            <color indexed="81"/>
            <rFont val="Tahoma"/>
            <family val="2"/>
          </rPr>
          <t xml:space="preserve">   This is the calculated </t>
        </r>
        <r>
          <rPr>
            <sz val="10"/>
            <color indexed="10"/>
            <rFont val="Tahoma"/>
            <family val="2"/>
          </rPr>
          <t>SE% for the basal area</t>
        </r>
        <r>
          <rPr>
            <sz val="10"/>
            <color indexed="81"/>
            <rFont val="Tahoma"/>
            <family val="2"/>
          </rPr>
          <t xml:space="preserve"> (and Tree Count) using </t>
        </r>
        <r>
          <rPr>
            <sz val="10"/>
            <color indexed="8"/>
            <rFont val="Tahoma"/>
            <family val="2"/>
          </rPr>
          <t>the</t>
        </r>
        <r>
          <rPr>
            <sz val="10"/>
            <color indexed="81"/>
            <rFont val="Tahoma"/>
            <family val="2"/>
          </rPr>
          <t xml:space="preserve"> number of sample points required to get the SE% you desired when all trees are measured on all sample points.
  Typically, it is too large in relation to the SE% for the *BAR.</t>
        </r>
      </text>
    </comment>
    <comment ref="C25" authorId="0" shapeId="0" xr:uid="{2F37AD1C-5966-4104-9898-7F2547E142C9}">
      <text>
        <r>
          <rPr>
            <sz val="10"/>
            <color indexed="81"/>
            <rFont val="Tahoma"/>
            <family val="2"/>
          </rPr>
          <t xml:space="preserve">  This is the </t>
        </r>
        <r>
          <rPr>
            <sz val="10"/>
            <color indexed="10"/>
            <rFont val="Tahoma"/>
            <family val="2"/>
          </rPr>
          <t>number of measured trees.</t>
        </r>
        <r>
          <rPr>
            <sz val="10"/>
            <color indexed="81"/>
            <rFont val="Tahoma"/>
            <family val="2"/>
          </rPr>
          <t xml:space="preserve">  It is calculated to give the correct overall SE% (under the assumption that the CV in the first section is for *BAR of </t>
        </r>
        <r>
          <rPr>
            <u/>
            <sz val="10"/>
            <color indexed="81"/>
            <rFont val="Tahoma"/>
            <family val="2"/>
          </rPr>
          <t>trees</t>
        </r>
        <r>
          <rPr>
            <sz val="10"/>
            <color indexed="81"/>
            <rFont val="Tahoma"/>
            <family val="2"/>
          </rPr>
          <t>).  If "too many" measurements are taken (this is the usual case) it reduces the  number of plots.</t>
        </r>
        <r>
          <rPr>
            <sz val="10"/>
            <color indexed="81"/>
            <rFont val="Tahoma"/>
            <family val="2"/>
          </rPr>
          <t xml:space="preserve">
</t>
        </r>
      </text>
    </comment>
    <comment ref="D25" authorId="0" shapeId="0" xr:uid="{7202E9B6-4AB0-4D92-8AF4-5880AA17B5ED}">
      <text>
        <r>
          <rPr>
            <sz val="10"/>
            <color indexed="81"/>
            <rFont val="Tahoma"/>
            <family val="2"/>
          </rPr>
          <t xml:space="preserve">This is the </t>
        </r>
        <r>
          <rPr>
            <sz val="10"/>
            <color indexed="10"/>
            <rFont val="Tahoma"/>
            <family val="2"/>
          </rPr>
          <t>SE% for the number of measurements (*BARS) used.</t>
        </r>
        <r>
          <rPr>
            <sz val="10"/>
            <color indexed="81"/>
            <rFont val="Tahoma"/>
            <family val="2"/>
          </rPr>
          <t xml:space="preserve"> </t>
        </r>
      </text>
    </comment>
    <comment ref="D26" authorId="0" shapeId="0" xr:uid="{9795428D-B1C5-45C5-9F65-C24F15198694}">
      <text>
        <r>
          <rPr>
            <sz val="10"/>
            <color indexed="81"/>
            <rFont val="Tahoma"/>
            <family val="2"/>
          </rPr>
          <t xml:space="preserve">  This is the </t>
        </r>
        <r>
          <rPr>
            <sz val="10"/>
            <color indexed="10"/>
            <rFont val="Tahoma"/>
            <family val="2"/>
          </rPr>
          <t>TOTAL SE%,</t>
        </r>
        <r>
          <rPr>
            <sz val="10"/>
            <color indexed="81"/>
            <rFont val="Tahoma"/>
            <family val="2"/>
          </rPr>
          <t xml:space="preserve"> combining the two different SE%'s for BA and *BAR.
   It is computed using "Bruce's method". </t>
        </r>
      </text>
    </comment>
    <comment ref="I26" authorId="0" shapeId="0" xr:uid="{A276DD8C-D0CA-432B-A06B-F545CF0D68DB}">
      <text>
        <r>
          <rPr>
            <sz val="10"/>
            <color indexed="81"/>
            <rFont val="Tahoma"/>
            <family val="2"/>
          </rPr>
          <t xml:space="preserve">  This is the </t>
        </r>
        <r>
          <rPr>
            <sz val="10"/>
            <color indexed="10"/>
            <rFont val="Tahoma"/>
            <family val="2"/>
          </rPr>
          <t>cost per sample point visited.</t>
        </r>
        <r>
          <rPr>
            <sz val="10"/>
            <color indexed="81"/>
            <rFont val="Tahoma"/>
            <family val="2"/>
          </rPr>
          <t xml:space="preserve">  
  It cannot be strictly compared to the other cost per point in cell H11, since different schemes are used.  The </t>
        </r>
        <r>
          <rPr>
            <sz val="10"/>
            <color indexed="10"/>
            <rFont val="Tahoma"/>
            <family val="2"/>
          </rPr>
          <t>relative efficiency is best expressed by cell F27, or I27.</t>
        </r>
      </text>
    </comment>
    <comment ref="C27" authorId="0" shapeId="0" xr:uid="{B203FE07-8488-45F3-AA6E-DFF422460BA2}">
      <text>
        <r>
          <rPr>
            <sz val="10"/>
            <color indexed="81"/>
            <rFont val="Tahoma"/>
            <family val="2"/>
          </rPr>
          <t xml:space="preserve">  This is the </t>
        </r>
        <r>
          <rPr>
            <sz val="10"/>
            <color indexed="10"/>
            <rFont val="Tahoma"/>
            <family val="2"/>
          </rPr>
          <t>total cost</t>
        </r>
        <r>
          <rPr>
            <sz val="10"/>
            <color indexed="81"/>
            <rFont val="Tahoma"/>
            <family val="2"/>
          </rPr>
          <t xml:space="preserve"> of obtaining the required SE% (cell D26) </t>
        </r>
        <r>
          <rPr>
            <sz val="10"/>
            <color indexed="10"/>
            <rFont val="Tahoma"/>
            <family val="2"/>
          </rPr>
          <t>IF</t>
        </r>
        <r>
          <rPr>
            <sz val="10"/>
            <color indexed="81"/>
            <rFont val="Tahoma"/>
            <family val="2"/>
          </rPr>
          <t xml:space="preserve"> you choose to measure </t>
        </r>
        <r>
          <rPr>
            <sz val="10"/>
            <color indexed="10"/>
            <rFont val="Tahoma"/>
            <family val="2"/>
          </rPr>
          <t>all</t>
        </r>
        <r>
          <rPr>
            <sz val="10"/>
            <color indexed="81"/>
            <rFont val="Tahoma"/>
            <family val="2"/>
          </rPr>
          <t xml:space="preserve"> the trees on </t>
        </r>
        <r>
          <rPr>
            <sz val="10"/>
            <color indexed="10"/>
            <rFont val="Tahoma"/>
            <family val="2"/>
          </rPr>
          <t>all</t>
        </r>
        <r>
          <rPr>
            <sz val="10"/>
            <color indexed="81"/>
            <rFont val="Tahoma"/>
            <family val="2"/>
          </rPr>
          <t xml:space="preserve"> the points.</t>
        </r>
      </text>
    </comment>
    <comment ref="F27" authorId="0" shapeId="0" xr:uid="{C0B66466-03C1-47C2-A4F2-377A442A2397}">
      <text>
        <r>
          <rPr>
            <sz val="10"/>
            <color indexed="81"/>
            <rFont val="Tahoma"/>
            <family val="2"/>
          </rPr>
          <t xml:space="preserve">This is the </t>
        </r>
        <r>
          <rPr>
            <sz val="10"/>
            <color indexed="10"/>
            <rFont val="Tahoma"/>
            <family val="2"/>
          </rPr>
          <t>relative cost of the "full measure" plots</t>
        </r>
        <r>
          <rPr>
            <sz val="10"/>
            <color indexed="81"/>
            <rFont val="Tahoma"/>
            <family val="2"/>
          </rPr>
          <t xml:space="preserve"> as a percentage of the optimal ratio of C:M (to get the same result).</t>
        </r>
      </text>
    </comment>
    <comment ref="I27" authorId="0" shapeId="0" xr:uid="{5F6018B0-E929-4CFC-9BE8-3B1FAC6B441E}">
      <text>
        <r>
          <rPr>
            <sz val="10"/>
            <color indexed="81"/>
            <rFont val="Tahoma"/>
            <family val="2"/>
          </rPr>
          <t xml:space="preserve">  This is the </t>
        </r>
        <r>
          <rPr>
            <sz val="10"/>
            <color indexed="10"/>
            <rFont val="Tahoma"/>
            <family val="2"/>
          </rPr>
          <t>efficiency of the "full measured" option,</t>
        </r>
        <r>
          <rPr>
            <sz val="10"/>
            <color indexed="81"/>
            <rFont val="Tahoma"/>
            <family val="2"/>
          </rPr>
          <t xml:space="preserve"> as compared to the </t>
        </r>
        <r>
          <rPr>
            <i/>
            <sz val="10"/>
            <color indexed="81"/>
            <rFont val="Tahoma"/>
            <family val="2"/>
          </rPr>
          <t>optimal</t>
        </r>
        <r>
          <rPr>
            <sz val="10"/>
            <color indexed="81"/>
            <rFont val="Tahoma"/>
            <family val="2"/>
          </rPr>
          <t xml:space="preserve"> C:M ratio, (including fixed costs).  
</t>
        </r>
      </text>
    </comment>
    <comment ref="D29" authorId="0" shapeId="0" xr:uid="{9111EE6E-8325-43FA-8B1A-4E8F8638F379}">
      <text>
        <r>
          <rPr>
            <sz val="10"/>
            <color indexed="81"/>
            <rFont val="Tahoma"/>
            <family val="2"/>
          </rPr>
          <t xml:space="preserve">  </t>
        </r>
        <r>
          <rPr>
            <sz val="10"/>
            <color indexed="10"/>
            <rFont val="Tahoma"/>
            <family val="2"/>
          </rPr>
          <t xml:space="preserve">This section will calculate the "t-value" </t>
        </r>
        <r>
          <rPr>
            <sz val="10"/>
            <color indexed="18"/>
            <rFont val="Tahoma"/>
            <family val="2"/>
          </rPr>
          <t>for any number of observations</t>
        </r>
        <r>
          <rPr>
            <sz val="10"/>
            <color indexed="81"/>
            <rFont val="Tahoma"/>
            <family val="2"/>
          </rPr>
          <t xml:space="preserve"> and any confidence level entered in the red cells, which is easier than interpolating a standard "t table".
If you want to see a t-table, there is one reproduced starting at cell AO2 at the right side of this spreadsheet.</t>
        </r>
      </text>
    </comment>
    <comment ref="G29" authorId="0" shapeId="0" xr:uid="{181B6D6E-5745-4452-9C0D-BC7FC8141F14}">
      <text>
        <r>
          <rPr>
            <sz val="10"/>
            <color indexed="81"/>
            <rFont val="Tahoma"/>
            <family val="2"/>
          </rPr>
          <t xml:space="preserve">  </t>
        </r>
        <r>
          <rPr>
            <sz val="10"/>
            <color indexed="10"/>
            <rFont val="Tahoma"/>
            <family val="2"/>
          </rPr>
          <t xml:space="preserve">These are the results that I would report if I was working with the SE% you entered into the yellow cell (D30).
               </t>
        </r>
        <r>
          <rPr>
            <b/>
            <sz val="10"/>
            <color indexed="10"/>
            <rFont val="Tahoma"/>
            <family val="2"/>
          </rPr>
          <t xml:space="preserve">  I would say:</t>
        </r>
        <r>
          <rPr>
            <sz val="10"/>
            <color indexed="12"/>
            <rFont val="Tahoma"/>
            <family val="2"/>
          </rPr>
          <t xml:space="preserve">
The current average has :
</t>
        </r>
        <r>
          <rPr>
            <u/>
            <sz val="10"/>
            <color indexed="12"/>
            <rFont val="Tahoma"/>
            <family val="2"/>
          </rPr>
          <t xml:space="preserve">about a </t>
        </r>
        <r>
          <rPr>
            <u/>
            <sz val="10"/>
            <color indexed="10"/>
            <rFont val="Tahoma"/>
            <family val="2"/>
          </rPr>
          <t>5%</t>
        </r>
        <r>
          <rPr>
            <u/>
            <sz val="10"/>
            <color indexed="12"/>
            <rFont val="Tahoma"/>
            <family val="2"/>
          </rPr>
          <t xml:space="preserve"> chance</t>
        </r>
        <r>
          <rPr>
            <sz val="10"/>
            <color indexed="12"/>
            <rFont val="Tahoma"/>
            <family val="2"/>
          </rPr>
          <t xml:space="preserve"> of being :
    </t>
        </r>
        <r>
          <rPr>
            <u/>
            <sz val="10"/>
            <color indexed="12"/>
            <rFont val="Tahoma"/>
            <family val="2"/>
          </rPr>
          <t>closer than</t>
        </r>
        <r>
          <rPr>
            <sz val="10"/>
            <color indexed="12"/>
            <rFont val="Tahoma"/>
            <family val="2"/>
          </rPr>
          <t xml:space="preserve"> {</t>
        </r>
        <r>
          <rPr>
            <i/>
            <sz val="10"/>
            <color indexed="12"/>
            <rFont val="Tahoma"/>
            <family val="2"/>
          </rPr>
          <t>enter the 5% answer</t>
        </r>
        <r>
          <rPr>
            <sz val="10"/>
            <color indexed="12"/>
            <rFont val="Tahoma"/>
            <family val="2"/>
          </rPr>
          <t xml:space="preserve">} or 
    </t>
        </r>
        <r>
          <rPr>
            <u/>
            <sz val="10"/>
            <color indexed="12"/>
            <rFont val="Tahoma"/>
            <family val="2"/>
          </rPr>
          <t>further away</t>
        </r>
        <r>
          <rPr>
            <sz val="10"/>
            <color indexed="12"/>
            <rFont val="Tahoma"/>
            <family val="2"/>
          </rPr>
          <t xml:space="preserve"> than {</t>
        </r>
        <r>
          <rPr>
            <i/>
            <sz val="10"/>
            <color indexed="12"/>
            <rFont val="Tahoma"/>
            <family val="2"/>
          </rPr>
          <t>enter the 95% answer</t>
        </r>
        <r>
          <rPr>
            <sz val="10"/>
            <color indexed="12"/>
            <rFont val="Tahoma"/>
            <family val="2"/>
          </rPr>
          <t xml:space="preserve">} 
         from the final answer, 
has </t>
        </r>
        <r>
          <rPr>
            <u/>
            <sz val="10"/>
            <color indexed="10"/>
            <rFont val="Tahoma"/>
            <family val="2"/>
          </rPr>
          <t>about an equal chance</t>
        </r>
        <r>
          <rPr>
            <sz val="10"/>
            <color indexed="12"/>
            <rFont val="Tahoma"/>
            <family val="2"/>
          </rPr>
          <t xml:space="preserve"> of being closer or further away than {</t>
        </r>
        <r>
          <rPr>
            <i/>
            <sz val="10"/>
            <color indexed="12"/>
            <rFont val="Tahoma"/>
            <family val="2"/>
          </rPr>
          <t>enter the 50% answer</t>
        </r>
        <r>
          <rPr>
            <sz val="10"/>
            <color indexed="12"/>
            <rFont val="Tahoma"/>
            <family val="2"/>
          </rPr>
          <t xml:space="preserve">} from the final answer.  
  The "final answer" being the answer that you would get </t>
        </r>
        <r>
          <rPr>
            <i/>
            <sz val="10"/>
            <color indexed="12"/>
            <rFont val="Tahoma"/>
            <family val="2"/>
          </rPr>
          <t>if we went on sampling this way forever</t>
        </r>
        <r>
          <rPr>
            <sz val="10"/>
            <color indexed="12"/>
            <rFont val="Tahoma"/>
            <family val="2"/>
          </rPr>
          <t xml:space="preserve"> (and is the </t>
        </r>
        <r>
          <rPr>
            <u/>
            <sz val="10"/>
            <color indexed="12"/>
            <rFont val="Tahoma"/>
            <family val="2"/>
          </rPr>
          <t>correct</t>
        </r>
        <r>
          <rPr>
            <sz val="10"/>
            <color indexed="12"/>
            <rFont val="Tahoma"/>
            <family val="2"/>
          </rPr>
          <t xml:space="preserve"> answer only if there is no bias in the process).</t>
        </r>
        <r>
          <rPr>
            <sz val="10"/>
            <color indexed="81"/>
            <rFont val="Tahoma"/>
            <family val="2"/>
          </rPr>
          <t xml:space="preserve">
</t>
        </r>
      </text>
    </comment>
    <comment ref="J29" authorId="0" shapeId="0" xr:uid="{2B797FED-6EEB-406D-8410-DBB9AD2EF152}">
      <text>
        <r>
          <rPr>
            <sz val="10"/>
            <color indexed="81"/>
            <rFont val="Tahoma"/>
            <family val="2"/>
          </rPr>
          <t xml:space="preserve">  In case you want to see what the standard set of statements would be with the data from part 1, the </t>
        </r>
        <r>
          <rPr>
            <sz val="10"/>
            <color indexed="10"/>
            <rFont val="Tahoma"/>
            <family val="2"/>
          </rPr>
          <t>Optimal Section,</t>
        </r>
        <r>
          <rPr>
            <sz val="10"/>
            <color indexed="81"/>
            <rFont val="Tahoma"/>
            <family val="2"/>
          </rPr>
          <t xml:space="preserve"> these are reproduced for your convenience.
  </t>
        </r>
        <r>
          <rPr>
            <sz val="10"/>
            <color indexed="10"/>
            <rFont val="Tahoma"/>
            <family val="2"/>
          </rPr>
          <t>Just fill them into cell E30</t>
        </r>
        <r>
          <rPr>
            <sz val="10"/>
            <color indexed="81"/>
            <rFont val="Tahoma"/>
            <family val="2"/>
          </rPr>
          <t xml:space="preserve"> if you are interested in the results for the total or the individual parts.</t>
        </r>
      </text>
    </comment>
    <comment ref="B30" authorId="0" shapeId="0" xr:uid="{54D920A0-AF8C-49BF-A5E6-17C6A78BF848}">
      <text>
        <r>
          <rPr>
            <sz val="10"/>
            <color indexed="81"/>
            <rFont val="Tahoma"/>
            <family val="2"/>
          </rPr>
          <t xml:space="preserve">  </t>
        </r>
        <r>
          <rPr>
            <sz val="10"/>
            <color indexed="10"/>
            <rFont val="Tahoma"/>
            <family val="2"/>
          </rPr>
          <t xml:space="preserve">Enter </t>
        </r>
        <r>
          <rPr>
            <sz val="10"/>
            <color indexed="18"/>
            <rFont val="Tahoma"/>
            <family val="2"/>
          </rPr>
          <t>the</t>
        </r>
        <r>
          <rPr>
            <sz val="10"/>
            <color indexed="10"/>
            <rFont val="Tahoma"/>
            <family val="2"/>
          </rPr>
          <t xml:space="preserve"> percent "confidence" you want.
</t>
        </r>
        <r>
          <rPr>
            <sz val="10"/>
            <color indexed="81"/>
            <rFont val="Tahoma"/>
            <family val="2"/>
          </rPr>
          <t xml:space="preserve">  For the seriously geeky, this is the 
"2-tailed" value, meaning there is 2.5% on each side of the t-value that will be shown when you put in a 95% confidence limit.  
  My own preference is to use the 50% confidence level whenever possible.</t>
        </r>
      </text>
    </comment>
    <comment ref="E30" authorId="0" shapeId="0" xr:uid="{B4CA2E93-AB22-4122-8802-B88E463471E9}">
      <text>
        <r>
          <rPr>
            <sz val="10"/>
            <color indexed="81"/>
            <rFont val="Tahoma"/>
            <family val="2"/>
          </rPr>
          <t xml:space="preserve">You can </t>
        </r>
        <r>
          <rPr>
            <sz val="10"/>
            <color indexed="10"/>
            <rFont val="Tahoma"/>
            <family val="2"/>
          </rPr>
          <t xml:space="preserve">enter any SE%  that you want.
</t>
        </r>
        <r>
          <rPr>
            <sz val="10"/>
            <color indexed="81"/>
            <rFont val="Tahoma"/>
            <family val="2"/>
          </rPr>
          <t xml:space="preserve">   </t>
        </r>
        <r>
          <rPr>
            <u/>
            <sz val="10"/>
            <color indexed="81"/>
            <rFont val="Tahoma"/>
            <family val="2"/>
          </rPr>
          <t>Initially</t>
        </r>
        <r>
          <rPr>
            <sz val="10"/>
            <color indexed="81"/>
            <rFont val="Tahoma"/>
            <family val="2"/>
          </rPr>
          <t xml:space="preserve"> the original spreadsheet is set up to copy the SE% you desired in the optimal section at the top of the spreadsheet (cell D9).</t>
        </r>
      </text>
    </comment>
    <comment ref="J30" authorId="0" shapeId="0" xr:uid="{696B6AAE-D720-4D3D-B45D-023F0439DDC9}">
      <text>
        <r>
          <rPr>
            <sz val="10"/>
            <color indexed="81"/>
            <rFont val="Tahoma"/>
            <family val="2"/>
          </rPr>
          <t xml:space="preserve">  This a </t>
        </r>
        <r>
          <rPr>
            <sz val="10"/>
            <color indexed="10"/>
            <rFont val="Tahoma"/>
            <family val="2"/>
          </rPr>
          <t>copy of the</t>
        </r>
        <r>
          <rPr>
            <sz val="10"/>
            <color indexed="81"/>
            <rFont val="Tahoma"/>
            <family val="2"/>
          </rPr>
          <t xml:space="preserve"> </t>
        </r>
        <r>
          <rPr>
            <sz val="10"/>
            <color indexed="10"/>
            <rFont val="Tahoma"/>
            <family val="2"/>
          </rPr>
          <t xml:space="preserve">SE% for Basal area  from section #1 </t>
        </r>
        <r>
          <rPr>
            <sz val="10"/>
            <color indexed="81"/>
            <rFont val="Tahoma"/>
            <family val="2"/>
          </rPr>
          <t xml:space="preserve">(Optimal calculation of TC vs *BAR).  
   SE% for </t>
        </r>
        <r>
          <rPr>
            <i/>
            <sz val="10"/>
            <color indexed="81"/>
            <rFont val="Tahoma"/>
            <family val="2"/>
          </rPr>
          <t>Basal Area</t>
        </r>
        <r>
          <rPr>
            <sz val="10"/>
            <color indexed="81"/>
            <rFont val="Tahoma"/>
            <family val="2"/>
          </rPr>
          <t xml:space="preserve"> and </t>
        </r>
        <r>
          <rPr>
            <i/>
            <sz val="10"/>
            <color indexed="81"/>
            <rFont val="Tahoma"/>
            <family val="2"/>
          </rPr>
          <t>Tree Count</t>
        </r>
        <r>
          <rPr>
            <sz val="10"/>
            <color indexed="81"/>
            <rFont val="Tahoma"/>
            <family val="2"/>
          </rPr>
          <t xml:space="preserve"> are, of course, the same.</t>
        </r>
      </text>
    </comment>
    <comment ref="B31" authorId="0" shapeId="0" xr:uid="{F589651D-E6DF-4960-A756-C9933244CB94}">
      <text>
        <r>
          <rPr>
            <sz val="10"/>
            <color indexed="10"/>
            <rFont val="Tahoma"/>
            <family val="2"/>
          </rPr>
          <t xml:space="preserve">   Enter</t>
        </r>
        <r>
          <rPr>
            <sz val="10"/>
            <color indexed="81"/>
            <rFont val="Tahoma"/>
            <family val="2"/>
          </rPr>
          <t xml:space="preserve"> the </t>
        </r>
        <r>
          <rPr>
            <sz val="10"/>
            <color indexed="10"/>
            <rFont val="Tahoma"/>
            <family val="2"/>
          </rPr>
          <t>number of observations (n).</t>
        </r>
        <r>
          <rPr>
            <sz val="10"/>
            <color indexed="81"/>
            <rFont val="Tahoma"/>
            <family val="2"/>
          </rPr>
          <t xml:space="preserve">
</t>
        </r>
        <r>
          <rPr>
            <u/>
            <sz val="10"/>
            <color indexed="81"/>
            <rFont val="Tahoma"/>
            <family val="2"/>
          </rPr>
          <t>(Not</t>
        </r>
        <r>
          <rPr>
            <sz val="10"/>
            <color indexed="81"/>
            <rFont val="Tahoma"/>
            <family val="2"/>
          </rPr>
          <t xml:space="preserve"> the "degrees of freedom, which is n-1.)</t>
        </r>
      </text>
    </comment>
    <comment ref="E31" authorId="0" shapeId="0" xr:uid="{1970117D-E21C-4347-9345-8EC8A95AD4DD}">
      <text>
        <r>
          <rPr>
            <sz val="10"/>
            <color indexed="81"/>
            <rFont val="Tahoma"/>
            <family val="2"/>
          </rPr>
          <t xml:space="preserve">  This is simply the </t>
        </r>
        <r>
          <rPr>
            <sz val="10"/>
            <color indexed="10"/>
            <rFont val="Tahoma"/>
            <family val="2"/>
          </rPr>
          <t>"t" value</t>
        </r>
        <r>
          <rPr>
            <sz val="10"/>
            <color indexed="81"/>
            <rFont val="Tahoma"/>
            <family val="2"/>
          </rPr>
          <t xml:space="preserve"> in cell B32 </t>
        </r>
        <r>
          <rPr>
            <sz val="10"/>
            <color indexed="10"/>
            <rFont val="Tahoma"/>
            <family val="2"/>
          </rPr>
          <t>times the SE%</t>
        </r>
        <r>
          <rPr>
            <sz val="10"/>
            <color indexed="81"/>
            <rFont val="Tahoma"/>
            <family val="2"/>
          </rPr>
          <t xml:space="preserve"> you entered in the yellow cell above.</t>
        </r>
      </text>
    </comment>
    <comment ref="G31" authorId="0" shapeId="0" xr:uid="{EE2004E3-EFD0-472B-B24A-E3A271DFB9FE}">
      <text>
        <r>
          <rPr>
            <sz val="10"/>
            <color indexed="81"/>
            <rFont val="Tahoma"/>
            <family val="2"/>
          </rPr>
          <t xml:space="preserve">  With the SE% from cell E30, and the sample size you entered, </t>
        </r>
        <r>
          <rPr>
            <sz val="10"/>
            <color indexed="10"/>
            <rFont val="Tahoma"/>
            <family val="2"/>
          </rPr>
          <t xml:space="preserve">there is about a 5% chance that you are actually </t>
        </r>
        <r>
          <rPr>
            <u/>
            <sz val="10"/>
            <color indexed="10"/>
            <rFont val="Tahoma"/>
            <family val="2"/>
          </rPr>
          <t>closer</t>
        </r>
        <r>
          <rPr>
            <sz val="10"/>
            <color indexed="10"/>
            <rFont val="Tahoma"/>
            <family val="2"/>
          </rPr>
          <t xml:space="preserve"> than this</t>
        </r>
        <r>
          <rPr>
            <sz val="10"/>
            <color indexed="81"/>
            <rFont val="Tahoma"/>
            <family val="2"/>
          </rPr>
          <t xml:space="preserve"> to the final answer.  </t>
        </r>
      </text>
    </comment>
    <comment ref="J31" authorId="0" shapeId="0" xr:uid="{F87945C7-4839-47F3-80C0-7F1E71EB7597}">
      <text>
        <r>
          <rPr>
            <sz val="10"/>
            <color indexed="81"/>
            <rFont val="Tahoma"/>
            <family val="2"/>
          </rPr>
          <t xml:space="preserve">  This a </t>
        </r>
        <r>
          <rPr>
            <u/>
            <sz val="10"/>
            <color indexed="10"/>
            <rFont val="Tahoma"/>
            <family val="2"/>
          </rPr>
          <t>copy</t>
        </r>
        <r>
          <rPr>
            <sz val="10"/>
            <color indexed="10"/>
            <rFont val="Tahoma"/>
            <family val="2"/>
          </rPr>
          <t xml:space="preserve"> </t>
        </r>
        <r>
          <rPr>
            <sz val="10"/>
            <color indexed="18"/>
            <rFont val="Tahoma"/>
            <family val="2"/>
          </rPr>
          <t>of the</t>
        </r>
        <r>
          <rPr>
            <sz val="10"/>
            <color indexed="10"/>
            <rFont val="Tahoma"/>
            <family val="2"/>
          </rPr>
          <t xml:space="preserve"> SE% for </t>
        </r>
        <r>
          <rPr>
            <u/>
            <sz val="10"/>
            <color indexed="10"/>
            <rFont val="Tahoma"/>
            <family val="2"/>
          </rPr>
          <t>*BAR</t>
        </r>
        <r>
          <rPr>
            <sz val="10"/>
            <color indexed="10"/>
            <rFont val="Tahoma"/>
            <family val="2"/>
          </rPr>
          <t xml:space="preserve"> </t>
        </r>
        <r>
          <rPr>
            <sz val="10"/>
            <color indexed="18"/>
            <rFont val="Tahoma"/>
            <family val="2"/>
          </rPr>
          <t xml:space="preserve">from the section on </t>
        </r>
        <r>
          <rPr>
            <sz val="10"/>
            <color indexed="81"/>
            <rFont val="Tahoma"/>
            <family val="2"/>
          </rPr>
          <t>optimal sampling.</t>
        </r>
      </text>
    </comment>
    <comment ref="C32" authorId="0" shapeId="0" xr:uid="{B128EEA1-FF22-4BB7-84F9-686CF9C2D6B7}">
      <text>
        <r>
          <rPr>
            <sz val="10"/>
            <color indexed="10"/>
            <rFont val="Tahoma"/>
            <family val="2"/>
          </rPr>
          <t xml:space="preserve">  This is the "t-value"</t>
        </r>
        <r>
          <rPr>
            <sz val="10"/>
            <color indexed="81"/>
            <rFont val="Tahoma"/>
            <family val="2"/>
          </rPr>
          <t xml:space="preserve"> for the confidence level and the number of observations you have entered.</t>
        </r>
      </text>
    </comment>
    <comment ref="G32" authorId="0" shapeId="0" xr:uid="{9D7D1A8C-E824-4062-A777-2B46CA1CA6A4}">
      <text>
        <r>
          <rPr>
            <sz val="10"/>
            <color indexed="81"/>
            <rFont val="Tahoma"/>
            <family val="2"/>
          </rPr>
          <t xml:space="preserve">   With the SE% from Cell E30 and the sample size you entered, there is about a </t>
        </r>
        <r>
          <rPr>
            <sz val="10"/>
            <color indexed="10"/>
            <rFont val="Tahoma"/>
            <family val="2"/>
          </rPr>
          <t>50% chance</t>
        </r>
        <r>
          <rPr>
            <sz val="10"/>
            <color indexed="81"/>
            <rFont val="Tahoma"/>
            <family val="2"/>
          </rPr>
          <t xml:space="preserve"> that the </t>
        </r>
        <r>
          <rPr>
            <sz val="10"/>
            <color indexed="10"/>
            <rFont val="Tahoma"/>
            <family val="2"/>
          </rPr>
          <t>final answer is further away or closer</t>
        </r>
        <r>
          <rPr>
            <sz val="10"/>
            <color indexed="81"/>
            <rFont val="Tahoma"/>
            <family val="2"/>
          </rPr>
          <t xml:space="preserve"> than this percentage.
  This has historically been called the </t>
        </r>
        <r>
          <rPr>
            <sz val="10"/>
            <color indexed="10"/>
            <rFont val="Tahoma"/>
            <family val="2"/>
          </rPr>
          <t>"probable error".</t>
        </r>
      </text>
    </comment>
    <comment ref="J32" authorId="0" shapeId="0" xr:uid="{6FD594DE-41F4-4774-968A-AB30B15A2059}">
      <text>
        <r>
          <rPr>
            <sz val="10"/>
            <color indexed="81"/>
            <rFont val="Tahoma"/>
            <family val="2"/>
          </rPr>
          <t xml:space="preserve">  This a </t>
        </r>
        <r>
          <rPr>
            <sz val="10"/>
            <color indexed="10"/>
            <rFont val="Tahoma"/>
            <family val="2"/>
          </rPr>
          <t xml:space="preserve">copy of the </t>
        </r>
        <r>
          <rPr>
            <u/>
            <sz val="10"/>
            <color indexed="10"/>
            <rFont val="Tahoma"/>
            <family val="2"/>
          </rPr>
          <t>combined</t>
        </r>
        <r>
          <rPr>
            <sz val="10"/>
            <color indexed="10"/>
            <rFont val="Tahoma"/>
            <family val="2"/>
          </rPr>
          <t xml:space="preserve"> SE% from section #1. </t>
        </r>
        <r>
          <rPr>
            <sz val="10"/>
            <color indexed="81"/>
            <rFont val="Tahoma"/>
            <family val="2"/>
          </rPr>
          <t>(Optimal calculation of TC vs *BAR)</t>
        </r>
      </text>
    </comment>
    <comment ref="E33" authorId="0" shapeId="0" xr:uid="{7CC4740F-6491-4538-93B1-FB91B5D17C8F}">
      <text>
        <r>
          <rPr>
            <sz val="10"/>
            <color indexed="81"/>
            <rFont val="Tahoma"/>
            <family val="2"/>
          </rPr>
          <t xml:space="preserve">This section can be used for </t>
        </r>
        <r>
          <rPr>
            <sz val="10"/>
            <color indexed="10"/>
            <rFont val="Tahoma"/>
            <family val="2"/>
          </rPr>
          <t>computations or notes.</t>
        </r>
      </text>
    </comment>
    <comment ref="G33" authorId="0" shapeId="0" xr:uid="{BBD21E2B-E80D-4363-A77D-ACE83F3E3189}">
      <text>
        <r>
          <rPr>
            <sz val="10"/>
            <color indexed="81"/>
            <rFont val="Tahoma"/>
            <family val="2"/>
          </rPr>
          <t xml:space="preserve">  With the SE% from Cell E30 and the sample size you entered, </t>
        </r>
        <r>
          <rPr>
            <sz val="10"/>
            <color indexed="10"/>
            <rFont val="Tahoma"/>
            <family val="2"/>
          </rPr>
          <t xml:space="preserve">there is about a 5% chance that you are actually </t>
        </r>
        <r>
          <rPr>
            <u val="double"/>
            <sz val="10"/>
            <color indexed="10"/>
            <rFont val="Tahoma"/>
            <family val="2"/>
          </rPr>
          <t>further</t>
        </r>
        <r>
          <rPr>
            <u/>
            <sz val="10"/>
            <color indexed="10"/>
            <rFont val="Tahoma"/>
            <family val="2"/>
          </rPr>
          <t xml:space="preserve"> than this</t>
        </r>
        <r>
          <rPr>
            <sz val="10"/>
            <color indexed="81"/>
            <rFont val="Tahoma"/>
            <family val="2"/>
          </rPr>
          <t xml:space="preserve"> from the final answer.
  </t>
        </r>
      </text>
    </comment>
    <comment ref="H36" authorId="0" shapeId="0" xr:uid="{A98AAD75-F638-4A39-9AC4-6F302734A5C6}">
      <text>
        <r>
          <rPr>
            <sz val="10"/>
            <color indexed="81"/>
            <rFont val="Tahoma"/>
            <family val="2"/>
          </rPr>
          <t xml:space="preserve">  </t>
        </r>
        <r>
          <rPr>
            <sz val="10"/>
            <color indexed="10"/>
            <rFont val="Tahoma"/>
            <family val="2"/>
          </rPr>
          <t xml:space="preserve">Put in convenient </t>
        </r>
        <r>
          <rPr>
            <u/>
            <sz val="10"/>
            <color indexed="10"/>
            <rFont val="Tahoma"/>
            <family val="2"/>
          </rPr>
          <t>English</t>
        </r>
        <r>
          <rPr>
            <sz val="10"/>
            <color indexed="10"/>
            <rFont val="Tahoma"/>
            <family val="2"/>
          </rPr>
          <t xml:space="preserve"> BAFs</t>
        </r>
        <r>
          <rPr>
            <sz val="10"/>
            <color indexed="81"/>
            <rFont val="Tahoma"/>
            <family val="2"/>
          </rPr>
          <t xml:space="preserve">. (English BAFs are just 4.356 * metric BAFs).  Then you can calculate distances in feet from a standard 8.5" sheet of paper on the wall to </t>
        </r>
        <r>
          <rPr>
            <sz val="10"/>
            <color indexed="10"/>
            <rFont val="Tahoma"/>
            <family val="2"/>
          </rPr>
          <t>calibrate your thumb</t>
        </r>
        <r>
          <rPr>
            <sz val="10"/>
            <color indexed="81"/>
            <rFont val="Tahoma"/>
            <family val="2"/>
          </rPr>
          <t xml:space="preserve"> for rough work. 
  If you usually use a particular prism, stand at that distance and find something to use to create that angle for approximate work (the width of 2 fingers, or your increment bore, for instance).  With your </t>
        </r>
        <r>
          <rPr>
            <sz val="10"/>
            <color indexed="10"/>
            <rFont val="Tahoma"/>
            <family val="2"/>
          </rPr>
          <t>thumb</t>
        </r>
        <r>
          <rPr>
            <sz val="10"/>
            <color indexed="81"/>
            <rFont val="Tahoma"/>
            <family val="2"/>
          </rPr>
          <t xml:space="preserve"> the measured distance is to your </t>
        </r>
        <r>
          <rPr>
            <sz val="10"/>
            <color indexed="10"/>
            <rFont val="Tahoma"/>
            <family val="2"/>
          </rPr>
          <t>EYE,</t>
        </r>
        <r>
          <rPr>
            <sz val="10"/>
            <color indexed="81"/>
            <rFont val="Tahoma"/>
            <family val="2"/>
          </rPr>
          <t xml:space="preserve"> since that is </t>
        </r>
        <r>
          <rPr>
            <b/>
            <sz val="10"/>
            <color indexed="12"/>
            <rFont val="Tahoma"/>
            <family val="2"/>
          </rPr>
          <t>the vertex of the angle</t>
        </r>
        <r>
          <rPr>
            <sz val="10"/>
            <color indexed="81"/>
            <rFont val="Tahoma"/>
            <family val="2"/>
          </rPr>
          <t xml:space="preserve"> being created.  
  With </t>
        </r>
        <r>
          <rPr>
            <sz val="10"/>
            <color indexed="10"/>
            <rFont val="Tahoma"/>
            <family val="2"/>
          </rPr>
          <t>prisms,</t>
        </r>
        <r>
          <rPr>
            <sz val="10"/>
            <color indexed="81"/>
            <rFont val="Tahoma"/>
            <family val="2"/>
          </rPr>
          <t xml:space="preserve"> the angle vertex occurs at the </t>
        </r>
        <r>
          <rPr>
            <sz val="10"/>
            <color indexed="10"/>
            <rFont val="Tahoma"/>
            <family val="2"/>
          </rPr>
          <t>prism.</t>
        </r>
        <r>
          <rPr>
            <sz val="10"/>
            <color indexed="81"/>
            <rFont val="Tahoma"/>
            <family val="2"/>
          </rPr>
          <t xml:space="preserve">  With a </t>
        </r>
        <r>
          <rPr>
            <sz val="10"/>
            <color indexed="10"/>
            <rFont val="Tahoma"/>
            <family val="2"/>
          </rPr>
          <t>Relascope,</t>
        </r>
        <r>
          <rPr>
            <sz val="10"/>
            <color indexed="81"/>
            <rFont val="Tahoma"/>
            <family val="2"/>
          </rPr>
          <t xml:space="preserve"> it is roughly at your </t>
        </r>
        <r>
          <rPr>
            <sz val="10"/>
            <color indexed="10"/>
            <rFont val="Tahoma"/>
            <family val="2"/>
          </rPr>
          <t>eye</t>
        </r>
        <r>
          <rPr>
            <sz val="10"/>
            <color indexed="81"/>
            <rFont val="Tahoma"/>
            <family val="2"/>
          </rPr>
          <t xml:space="preserve"> again.  </t>
        </r>
      </text>
    </comment>
    <comment ref="H37" authorId="0" shapeId="0" xr:uid="{8124D488-120D-44BB-B8CB-EC79FAF3335B}">
      <text>
        <r>
          <rPr>
            <sz val="10"/>
            <color indexed="81"/>
            <rFont val="Tahoma"/>
            <family val="2"/>
          </rPr>
          <t xml:space="preserve">  </t>
        </r>
        <r>
          <rPr>
            <sz val="10"/>
            <color indexed="10"/>
            <rFont val="Tahoma"/>
            <family val="2"/>
          </rPr>
          <t xml:space="preserve">Enter the size of the </t>
        </r>
        <r>
          <rPr>
            <b/>
            <sz val="10"/>
            <color indexed="12"/>
            <rFont val="Tahoma"/>
            <family val="2"/>
          </rPr>
          <t>flat</t>
        </r>
        <r>
          <rPr>
            <sz val="10"/>
            <color indexed="10"/>
            <rFont val="Tahoma"/>
            <family val="2"/>
          </rPr>
          <t xml:space="preserve"> target used in </t>
        </r>
        <r>
          <rPr>
            <b/>
            <sz val="10"/>
            <color indexed="12"/>
            <rFont val="Tahoma"/>
            <family val="2"/>
          </rPr>
          <t>inches.</t>
        </r>
        <r>
          <rPr>
            <sz val="10"/>
            <color indexed="81"/>
            <rFont val="Tahoma"/>
            <family val="2"/>
          </rPr>
          <t xml:space="preserve">
  This is initially set at 8.5 inches, the size of a standard sheet of paper (in feet).  Colored paper on a wall is a very effective target, but you can enter another size if you want.</t>
        </r>
      </text>
    </comment>
    <comment ref="C38" authorId="0" shapeId="0" xr:uid="{B456BA2C-3B0B-41EE-BD2E-BC8F9E6E5E75}">
      <text>
        <r>
          <rPr>
            <sz val="10"/>
            <color indexed="81"/>
            <rFont val="Tahoma"/>
            <family val="2"/>
          </rPr>
          <t xml:space="preserve">Enter the </t>
        </r>
        <r>
          <rPr>
            <sz val="10"/>
            <color indexed="10"/>
            <rFont val="Tahoma"/>
            <family val="2"/>
          </rPr>
          <t>width of the target</t>
        </r>
        <r>
          <rPr>
            <sz val="10"/>
            <color indexed="81"/>
            <rFont val="Tahoma"/>
            <family val="2"/>
          </rPr>
          <t xml:space="preserve"> 
(in inches).</t>
        </r>
      </text>
    </comment>
    <comment ref="F38" authorId="0" shapeId="0" xr:uid="{809F9EA6-0B55-433D-85B3-F484FCC15041}">
      <text>
        <r>
          <rPr>
            <sz val="10"/>
            <color indexed="81"/>
            <rFont val="Tahoma"/>
            <family val="2"/>
          </rPr>
          <t xml:space="preserve">  This is the </t>
        </r>
        <r>
          <rPr>
            <sz val="10"/>
            <color indexed="10"/>
            <rFont val="Tahoma"/>
            <family val="2"/>
          </rPr>
          <t xml:space="preserve">Calculated </t>
        </r>
        <r>
          <rPr>
            <u/>
            <sz val="10"/>
            <color indexed="10"/>
            <rFont val="Tahoma"/>
            <family val="2"/>
          </rPr>
          <t>English</t>
        </r>
        <r>
          <rPr>
            <sz val="10"/>
            <color indexed="10"/>
            <rFont val="Tahoma"/>
            <family val="2"/>
          </rPr>
          <t xml:space="preserve"> BAF</t>
        </r>
        <r>
          <rPr>
            <sz val="10"/>
            <color indexed="81"/>
            <rFont val="Tahoma"/>
            <family val="2"/>
          </rPr>
          <t xml:space="preserve"> of that target at that distance, in </t>
        </r>
        <r>
          <rPr>
            <sz val="10"/>
            <color indexed="10"/>
            <rFont val="Tahoma"/>
            <family val="2"/>
          </rPr>
          <t>square feet per acre.</t>
        </r>
        <r>
          <rPr>
            <sz val="10"/>
            <color indexed="81"/>
            <rFont val="Tahoma"/>
            <family val="2"/>
          </rPr>
          <t xml:space="preserve">
  </t>
        </r>
        <r>
          <rPr>
            <sz val="10"/>
            <color indexed="14"/>
            <rFont val="Tahoma"/>
            <family val="2"/>
          </rPr>
          <t xml:space="preserve">The actual BAF should be defined by the Plot Radius Factor (PRF) that is used to check borderline trees (see sub-section at lower left of this tan colored section). </t>
        </r>
        <r>
          <rPr>
            <sz val="10"/>
            <color indexed="81"/>
            <rFont val="Tahoma"/>
            <family val="2"/>
          </rPr>
          <t xml:space="preserve"> </t>
        </r>
        <r>
          <rPr>
            <i/>
            <sz val="10"/>
            <color indexed="81"/>
            <rFont val="Tahoma"/>
            <family val="2"/>
          </rPr>
          <t>If you do not check borderline trees,</t>
        </r>
        <r>
          <rPr>
            <sz val="10"/>
            <color indexed="81"/>
            <rFont val="Tahoma"/>
            <family val="2"/>
          </rPr>
          <t xml:space="preserve"> the BAF is this calculated one, and it depends on the person using the angle guage, as well as the instrument.</t>
        </r>
      </text>
    </comment>
    <comment ref="H38" authorId="0" shapeId="0" xr:uid="{5AF3E6B5-28EE-4DA7-8E22-8D40F1E42F2D}">
      <text>
        <r>
          <rPr>
            <sz val="10"/>
            <color indexed="81"/>
            <rFont val="Tahoma"/>
            <family val="2"/>
          </rPr>
          <t xml:space="preserve">  
    This is the </t>
        </r>
        <r>
          <rPr>
            <sz val="10"/>
            <color indexed="10"/>
            <rFont val="Tahoma"/>
            <family val="2"/>
          </rPr>
          <t>horizontal</t>
        </r>
        <r>
          <rPr>
            <sz val="10"/>
            <color indexed="81"/>
            <rFont val="Tahoma"/>
            <family val="2"/>
          </rPr>
          <t xml:space="preserve"> </t>
        </r>
        <r>
          <rPr>
            <sz val="10"/>
            <color indexed="10"/>
            <rFont val="Tahoma"/>
            <family val="2"/>
          </rPr>
          <t xml:space="preserve">distance from the target (cell </t>
        </r>
        <r>
          <rPr>
            <sz val="10"/>
            <color indexed="10"/>
            <rFont val="Times New Roman"/>
            <family val="1"/>
          </rPr>
          <t>I</t>
        </r>
        <r>
          <rPr>
            <sz val="10"/>
            <color indexed="10"/>
            <rFont val="Tahoma"/>
            <family val="2"/>
          </rPr>
          <t xml:space="preserve">37, </t>
        </r>
        <r>
          <rPr>
            <sz val="10"/>
            <color indexed="81"/>
            <rFont val="Tahoma"/>
            <family val="2"/>
          </rPr>
          <t xml:space="preserve">in </t>
        </r>
        <r>
          <rPr>
            <b/>
            <sz val="10"/>
            <color indexed="81"/>
            <rFont val="Tahoma"/>
            <family val="2"/>
          </rPr>
          <t>feet</t>
        </r>
        <r>
          <rPr>
            <sz val="10"/>
            <color indexed="81"/>
            <rFont val="Tahoma"/>
            <family val="2"/>
          </rPr>
          <t xml:space="preserve">) where the target should appear "borderline" with the BAF in cell I36.  
</t>
        </r>
      </text>
    </comment>
    <comment ref="J38" authorId="2" shapeId="0" xr:uid="{80398AE9-F854-4251-9956-54F38B55CEA1}">
      <text>
        <r>
          <rPr>
            <sz val="9"/>
            <color indexed="81"/>
            <rFont val="Tahoma"/>
            <family val="2"/>
          </rPr>
          <t xml:space="preserve">    If you are calibrating a target held at some distance from your eye : fill in the </t>
        </r>
        <r>
          <rPr>
            <b/>
            <sz val="9"/>
            <color indexed="12"/>
            <rFont val="Tahoma"/>
            <family val="2"/>
          </rPr>
          <t>distance (in feet)</t>
        </r>
        <r>
          <rPr>
            <sz val="9"/>
            <color indexed="81"/>
            <rFont val="Tahoma"/>
            <family val="2"/>
          </rPr>
          <t xml:space="preserve"> from your eye to the target and the </t>
        </r>
        <r>
          <rPr>
            <b/>
            <sz val="9"/>
            <color indexed="81"/>
            <rFont val="Tahoma"/>
            <family val="2"/>
          </rPr>
          <t>BAF</t>
        </r>
        <r>
          <rPr>
            <sz val="9"/>
            <color indexed="81"/>
            <rFont val="Tahoma"/>
            <family val="2"/>
          </rPr>
          <t xml:space="preserve"> desired - this calculates the width of target to use (in inches) to create that BAF.</t>
        </r>
      </text>
    </comment>
    <comment ref="C39" authorId="0" shapeId="0" xr:uid="{61CCC025-E522-45FD-BA17-FEA22FDC24D6}">
      <text>
        <r>
          <rPr>
            <sz val="10"/>
            <color indexed="81"/>
            <rFont val="Tahoma"/>
            <family val="2"/>
          </rPr>
          <t xml:space="preserve">Enter the </t>
        </r>
        <r>
          <rPr>
            <sz val="10"/>
            <color indexed="10"/>
            <rFont val="Tahoma"/>
            <family val="2"/>
          </rPr>
          <t>distance to the target.</t>
        </r>
        <r>
          <rPr>
            <sz val="10"/>
            <color indexed="81"/>
            <rFont val="Tahoma"/>
            <family val="2"/>
          </rPr>
          <t xml:space="preserve"> 
(in the feet).</t>
        </r>
      </text>
    </comment>
    <comment ref="C40" authorId="0" shapeId="0" xr:uid="{62BBC27F-E1A2-488E-8ED4-437E0547F1EB}">
      <text>
        <r>
          <rPr>
            <sz val="10"/>
            <color indexed="81"/>
            <rFont val="Tahoma"/>
            <family val="2"/>
          </rPr>
          <t xml:space="preserve">  Enter a </t>
        </r>
        <r>
          <rPr>
            <sz val="10"/>
            <color indexed="10"/>
            <rFont val="Tahoma"/>
            <family val="2"/>
          </rPr>
          <t>1</t>
        </r>
        <r>
          <rPr>
            <sz val="10"/>
            <color indexed="81"/>
            <rFont val="Tahoma"/>
            <family val="2"/>
          </rPr>
          <t xml:space="preserve"> if you are using a </t>
        </r>
        <r>
          <rPr>
            <sz val="10"/>
            <color indexed="10"/>
            <rFont val="Tahoma"/>
            <family val="2"/>
          </rPr>
          <t>flat</t>
        </r>
        <r>
          <rPr>
            <sz val="10"/>
            <color indexed="81"/>
            <rFont val="Tahoma"/>
            <family val="2"/>
          </rPr>
          <t xml:space="preserve"> target like a sheet of paper, and a </t>
        </r>
        <r>
          <rPr>
            <sz val="10"/>
            <color indexed="10"/>
            <rFont val="Tahoma"/>
            <family val="2"/>
          </rPr>
          <t>0</t>
        </r>
        <r>
          <rPr>
            <sz val="10"/>
            <color indexed="81"/>
            <rFont val="Tahoma"/>
            <family val="2"/>
          </rPr>
          <t xml:space="preserve"> if you are using a </t>
        </r>
        <r>
          <rPr>
            <sz val="10"/>
            <color indexed="10"/>
            <rFont val="Tahoma"/>
            <family val="2"/>
          </rPr>
          <t>cylinder</t>
        </r>
        <r>
          <rPr>
            <sz val="10"/>
            <color indexed="81"/>
            <rFont val="Tahoma"/>
            <family val="2"/>
          </rPr>
          <t xml:space="preserve"> as the target (easy to remember because a zero looks like a cylinder cross-section).
  This is a small correction, but you might as well use it. 
It matters with very large BAFs.</t>
        </r>
      </text>
    </comment>
    <comment ref="K40" authorId="2" shapeId="0" xr:uid="{23DF7F19-4821-4AC7-BDED-517B43982319}">
      <text>
        <r>
          <rPr>
            <sz val="10"/>
            <color indexed="81"/>
            <rFont val="Tahoma"/>
            <family val="2"/>
          </rPr>
          <t xml:space="preserve">  </t>
        </r>
        <r>
          <rPr>
            <sz val="9"/>
            <color indexed="12"/>
            <rFont val="Tahoma"/>
            <family val="2"/>
          </rPr>
          <t>The gold cells are here in case you want to make any temporary calculations.</t>
        </r>
      </text>
    </comment>
    <comment ref="H41" authorId="0" shapeId="0" xr:uid="{3B63A205-096A-46E2-B766-8AC4A3D463A3}">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the BAF in cell F38, </t>
        </r>
        <r>
          <rPr>
            <sz val="10"/>
            <color indexed="10"/>
            <rFont val="Tahoma"/>
            <family val="2"/>
          </rPr>
          <t>in Feet per inch</t>
        </r>
        <r>
          <rPr>
            <sz val="10"/>
            <color indexed="81"/>
            <rFont val="Tahoma"/>
            <family val="2"/>
          </rPr>
          <t xml:space="preserve"> of DBH to the </t>
        </r>
        <r>
          <rPr>
            <b/>
            <sz val="10"/>
            <color indexed="81"/>
            <rFont val="Tahoma"/>
            <family val="2"/>
          </rPr>
          <t>CENTER</t>
        </r>
        <r>
          <rPr>
            <sz val="10"/>
            <color indexed="81"/>
            <rFont val="Tahoma"/>
            <family val="2"/>
          </rPr>
          <t xml:space="preserve"> of the tree.
</t>
        </r>
      </text>
    </comment>
    <comment ref="H42" authorId="0" shapeId="0" xr:uid="{0DA442D5-65B6-4072-8100-B4E6343D6ADC}">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the BAF in cell F38, </t>
        </r>
        <r>
          <rPr>
            <sz val="10"/>
            <color indexed="10"/>
            <rFont val="Tahoma"/>
            <family val="2"/>
          </rPr>
          <t>in Feet per inch</t>
        </r>
        <r>
          <rPr>
            <sz val="10"/>
            <color indexed="81"/>
            <rFont val="Tahoma"/>
            <family val="2"/>
          </rPr>
          <t xml:space="preserve"> of DBH to the </t>
        </r>
        <r>
          <rPr>
            <b/>
            <sz val="10"/>
            <color indexed="81"/>
            <rFont val="Tahoma"/>
            <family val="2"/>
          </rPr>
          <t>EDGE</t>
        </r>
        <r>
          <rPr>
            <sz val="10"/>
            <color indexed="81"/>
            <rFont val="Tahoma"/>
            <family val="2"/>
          </rPr>
          <t xml:space="preserve"> of the tree.
</t>
        </r>
      </text>
    </comment>
    <comment ref="B43" authorId="0" shapeId="0" xr:uid="{C6BF9855-8E83-4F41-B227-51524033F0C9}">
      <text>
        <r>
          <rPr>
            <sz val="10"/>
            <color indexed="81"/>
            <rFont val="Tahoma"/>
            <family val="2"/>
          </rPr>
          <t xml:space="preserve">  If you want to compute the BAF from a particular Plot Radius Factor, this section will do that.   </t>
        </r>
        <r>
          <rPr>
            <sz val="10"/>
            <color indexed="10"/>
            <rFont val="Tahoma"/>
            <family val="2"/>
          </rPr>
          <t>Enter the Plot Radius Factor here.</t>
        </r>
        <r>
          <rPr>
            <sz val="10"/>
            <color indexed="81"/>
            <rFont val="Tahoma"/>
            <family val="2"/>
          </rPr>
          <t xml:space="preserve">
</t>
        </r>
        <r>
          <rPr>
            <sz val="10"/>
            <color indexed="10"/>
            <rFont val="Tahoma"/>
            <family val="2"/>
          </rPr>
          <t>The way you check borderline trees determines the exact BAF that should be used in compilations.</t>
        </r>
        <r>
          <rPr>
            <sz val="10"/>
            <color indexed="81"/>
            <rFont val="Tahoma"/>
            <family val="2"/>
          </rPr>
          <t xml:space="preserve">   If you check them with the Plot Radius Factor, using a particular number of digits, this is how you should compute the BAF for compiling the data.
  If you determine borderline trees by eye, then you should calibrate the prism for yourself, since everyone views "borderline" a bit differently.  
</t>
        </r>
      </text>
    </comment>
    <comment ref="H43" authorId="0" shapeId="0" xr:uid="{2918D5DB-C4F8-41D1-B493-91792D8B86FC}">
      <text>
        <r>
          <rPr>
            <sz val="10"/>
            <color indexed="10"/>
            <rFont val="Tahoma"/>
            <family val="2"/>
          </rPr>
          <t xml:space="preserve"> Enter the DBH in inches</t>
        </r>
        <r>
          <rPr>
            <sz val="10"/>
            <color indexed="81"/>
            <rFont val="Tahoma"/>
            <family val="2"/>
          </rPr>
          <t xml:space="preserve"> here (or in the cell below, and it will compute the "critical distance" where the tree is borderline.</t>
        </r>
      </text>
    </comment>
    <comment ref="D44" authorId="0" shapeId="0" xr:uid="{42825F3C-CC0F-4047-9F0F-45C3E2FB8326}">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for a Plot Radius Factor (cell B42) measured to the </t>
        </r>
        <r>
          <rPr>
            <sz val="10"/>
            <color indexed="10"/>
            <rFont val="Tahoma"/>
            <family val="2"/>
          </rPr>
          <t>center</t>
        </r>
        <r>
          <rPr>
            <sz val="10"/>
            <color indexed="81"/>
            <rFont val="Tahoma"/>
            <family val="2"/>
          </rPr>
          <t xml:space="preserve"> of a tree in </t>
        </r>
        <r>
          <rPr>
            <sz val="10"/>
            <color indexed="10"/>
            <rFont val="Tahoma"/>
            <family val="2"/>
          </rPr>
          <t>Square feet/acre.</t>
        </r>
      </text>
    </comment>
    <comment ref="E44" authorId="0" shapeId="0" xr:uid="{CBAD8CC6-D402-4479-8869-3CFB879C8FB8}">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for a Plot Radius Factor (cell B42) measured to the </t>
        </r>
        <r>
          <rPr>
            <sz val="10"/>
            <color indexed="10"/>
            <rFont val="Tahoma"/>
            <family val="2"/>
          </rPr>
          <t>FACE</t>
        </r>
        <r>
          <rPr>
            <sz val="10"/>
            <color indexed="81"/>
            <rFont val="Tahoma"/>
            <family val="2"/>
          </rPr>
          <t xml:space="preserve"> of a tree in </t>
        </r>
        <r>
          <rPr>
            <sz val="10"/>
            <color indexed="10"/>
            <rFont val="Tahoma"/>
            <family val="2"/>
          </rPr>
          <t>Square feet/acre.</t>
        </r>
      </text>
    </comment>
    <comment ref="G44" authorId="0" shapeId="0" xr:uid="{E6AA3EE2-A86E-4D41-A2E2-3B04C30AA0FC}">
      <text>
        <r>
          <rPr>
            <sz val="10"/>
            <color indexed="81"/>
            <rFont val="Tahoma"/>
            <family val="2"/>
          </rPr>
          <t xml:space="preserve">  With the diameter (cell H43), and the BAF in this section (cell F38,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center</t>
        </r>
        <r>
          <rPr>
            <sz val="10"/>
            <color indexed="81"/>
            <rFont val="Tahoma"/>
            <family val="2"/>
          </rPr>
          <t xml:space="preserve"> of tree to the edge of plot, in </t>
        </r>
        <r>
          <rPr>
            <sz val="10"/>
            <color indexed="10"/>
            <rFont val="Tahoma"/>
            <family val="2"/>
          </rPr>
          <t>feet.</t>
        </r>
        <r>
          <rPr>
            <sz val="10"/>
            <color indexed="81"/>
            <rFont val="Tahoma"/>
            <family val="2"/>
          </rPr>
          <t xml:space="preserve">
  ------------------------------
  You can also calculate exact Plot Radius Factors from  BAFs you enter in one of the sections below this one.</t>
        </r>
      </text>
    </comment>
    <comment ref="G45" authorId="0" shapeId="0" xr:uid="{08E13439-9689-4236-BD0D-8D492BF04C7B}">
      <text>
        <r>
          <rPr>
            <sz val="10"/>
            <color indexed="81"/>
            <rFont val="Tahoma"/>
            <family val="2"/>
          </rPr>
          <t xml:space="preserve">  With the diameter (cell H43), and the BAF in this section (cell F38,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FACE</t>
        </r>
        <r>
          <rPr>
            <sz val="10"/>
            <color indexed="81"/>
            <rFont val="Tahoma"/>
            <family val="2"/>
          </rPr>
          <t xml:space="preserve"> of tree to the edge of plot, in </t>
        </r>
        <r>
          <rPr>
            <sz val="10"/>
            <color indexed="10"/>
            <rFont val="Tahoma"/>
            <family val="2"/>
          </rPr>
          <t>feet.</t>
        </r>
        <r>
          <rPr>
            <sz val="10"/>
            <color indexed="81"/>
            <rFont val="Tahoma"/>
            <family val="2"/>
          </rPr>
          <t xml:space="preserve">
  ------------------------------
  You can also calculate exact Plot Radius Factors from  BAFs you enter in one of the sections below this one.</t>
        </r>
      </text>
    </comment>
    <comment ref="H48" authorId="0" shapeId="0" xr:uid="{44CD1EA3-97A4-4903-A38C-3C5D0ABA65AD}">
      <text>
        <r>
          <rPr>
            <sz val="10"/>
            <color indexed="81"/>
            <rFont val="Tahoma"/>
            <family val="2"/>
          </rPr>
          <t xml:space="preserve">  </t>
        </r>
        <r>
          <rPr>
            <sz val="10"/>
            <color indexed="10"/>
            <rFont val="Tahoma"/>
            <family val="2"/>
          </rPr>
          <t xml:space="preserve">Put in convenient </t>
        </r>
        <r>
          <rPr>
            <u/>
            <sz val="10"/>
            <color indexed="10"/>
            <rFont val="Tahoma"/>
            <family val="2"/>
          </rPr>
          <t>Metric</t>
        </r>
        <r>
          <rPr>
            <sz val="10"/>
            <color indexed="10"/>
            <rFont val="Tahoma"/>
            <family val="2"/>
          </rPr>
          <t xml:space="preserve"> BAFs</t>
        </r>
        <r>
          <rPr>
            <sz val="10"/>
            <color indexed="81"/>
            <rFont val="Tahoma"/>
            <family val="2"/>
          </rPr>
          <t xml:space="preserve">.  Then you can calculate distances in feet from a standard 8.5" sheet of paper on the wall to </t>
        </r>
        <r>
          <rPr>
            <sz val="10"/>
            <color indexed="10"/>
            <rFont val="Tahoma"/>
            <family val="2"/>
          </rPr>
          <t>calibrate your thumb</t>
        </r>
        <r>
          <rPr>
            <sz val="10"/>
            <color indexed="81"/>
            <rFont val="Tahoma"/>
            <family val="2"/>
          </rPr>
          <t xml:space="preserve"> for rough work. 
  If you usually use a particular prism, stand at that distance and find something to use to create that angle for approximate work (the width of 2 fingers, or your increment bore, for instance).  With your </t>
        </r>
        <r>
          <rPr>
            <sz val="10"/>
            <color indexed="10"/>
            <rFont val="Tahoma"/>
            <family val="2"/>
          </rPr>
          <t>thumb</t>
        </r>
        <r>
          <rPr>
            <sz val="10"/>
            <color indexed="81"/>
            <rFont val="Tahoma"/>
            <family val="2"/>
          </rPr>
          <t xml:space="preserve"> the distance is to your EYE, since that is the vertex of the angle being created.  
  With </t>
        </r>
        <r>
          <rPr>
            <sz val="10"/>
            <color indexed="10"/>
            <rFont val="Tahoma"/>
            <family val="2"/>
          </rPr>
          <t>prisms,</t>
        </r>
        <r>
          <rPr>
            <sz val="10"/>
            <color indexed="81"/>
            <rFont val="Tahoma"/>
            <family val="2"/>
          </rPr>
          <t xml:space="preserve"> the vertex occurs at the prism.  With a </t>
        </r>
        <r>
          <rPr>
            <sz val="10"/>
            <color indexed="10"/>
            <rFont val="Tahoma"/>
            <family val="2"/>
          </rPr>
          <t>Relascope,</t>
        </r>
        <r>
          <rPr>
            <sz val="10"/>
            <color indexed="81"/>
            <rFont val="Tahoma"/>
            <family val="2"/>
          </rPr>
          <t xml:space="preserve"> it is roughly at your eye again.  </t>
        </r>
      </text>
    </comment>
    <comment ref="H49" authorId="0" shapeId="0" xr:uid="{DDA43420-1082-47B8-8D7F-18F1C829302D}">
      <text>
        <r>
          <rPr>
            <sz val="10"/>
            <color indexed="81"/>
            <rFont val="Tahoma"/>
            <family val="2"/>
          </rPr>
          <t xml:space="preserve">  </t>
        </r>
        <r>
          <rPr>
            <sz val="10"/>
            <color indexed="10"/>
            <rFont val="Tahoma"/>
            <family val="2"/>
          </rPr>
          <t xml:space="preserve">Enter the size of the </t>
        </r>
        <r>
          <rPr>
            <b/>
            <sz val="10"/>
            <color indexed="12"/>
            <rFont val="Tahoma"/>
            <family val="2"/>
          </rPr>
          <t>flat</t>
        </r>
        <r>
          <rPr>
            <sz val="10"/>
            <color indexed="10"/>
            <rFont val="Tahoma"/>
            <family val="2"/>
          </rPr>
          <t xml:space="preserve"> target used in </t>
        </r>
        <r>
          <rPr>
            <b/>
            <sz val="10"/>
            <color indexed="12"/>
            <rFont val="Tahoma"/>
            <family val="2"/>
          </rPr>
          <t>centimeters.</t>
        </r>
        <r>
          <rPr>
            <sz val="10"/>
            <color indexed="81"/>
            <rFont val="Tahoma"/>
            <family val="2"/>
          </rPr>
          <t xml:space="preserve">
   Colored paper on a wall is a very effective target (21.59 cm in width), but you can enter another size if you want.</t>
        </r>
      </text>
    </comment>
    <comment ref="C50" authorId="0" shapeId="0" xr:uid="{CAA6CA87-473E-4613-B4D0-30B60E1DBD5B}">
      <text>
        <r>
          <rPr>
            <sz val="10"/>
            <color indexed="81"/>
            <rFont val="Tahoma"/>
            <family val="2"/>
          </rPr>
          <t xml:space="preserve">Enter the </t>
        </r>
        <r>
          <rPr>
            <sz val="10"/>
            <color indexed="10"/>
            <rFont val="Tahoma"/>
            <family val="2"/>
          </rPr>
          <t>width of the target</t>
        </r>
        <r>
          <rPr>
            <sz val="10"/>
            <color indexed="81"/>
            <rFont val="Tahoma"/>
            <family val="2"/>
          </rPr>
          <t xml:space="preserve"> 
(in centimeters)</t>
        </r>
      </text>
    </comment>
    <comment ref="H50" authorId="2" shapeId="0" xr:uid="{CB478C10-0DA7-4F84-BDE8-8672D0E99729}">
      <text>
        <r>
          <rPr>
            <sz val="9"/>
            <color indexed="81"/>
            <rFont val="Tahoma"/>
            <family val="2"/>
          </rPr>
          <t xml:space="preserve">    If you are calibrating a target held at arms length : fill in the </t>
        </r>
        <r>
          <rPr>
            <b/>
            <sz val="9"/>
            <color indexed="12"/>
            <rFont val="Tahoma"/>
            <family val="2"/>
          </rPr>
          <t>distance (in meters)</t>
        </r>
        <r>
          <rPr>
            <sz val="9"/>
            <color indexed="81"/>
            <rFont val="Tahoma"/>
            <family val="2"/>
          </rPr>
          <t xml:space="preserve"> from your eye to where you will hold the target and the </t>
        </r>
        <r>
          <rPr>
            <b/>
            <sz val="9"/>
            <color indexed="81"/>
            <rFont val="Tahoma"/>
            <family val="2"/>
          </rPr>
          <t>BAF</t>
        </r>
        <r>
          <rPr>
            <sz val="9"/>
            <color indexed="81"/>
            <rFont val="Tahoma"/>
            <family val="2"/>
          </rPr>
          <t xml:space="preserve"> desired - this calculates the width of target to use (in cm).</t>
        </r>
      </text>
    </comment>
    <comment ref="C51" authorId="0" shapeId="0" xr:uid="{715A2790-B868-4690-97EA-6CA2208993BF}">
      <text>
        <r>
          <rPr>
            <sz val="10"/>
            <color indexed="81"/>
            <rFont val="Tahoma"/>
            <family val="2"/>
          </rPr>
          <t xml:space="preserve">Enter the </t>
        </r>
        <r>
          <rPr>
            <sz val="10"/>
            <color indexed="10"/>
            <rFont val="Tahoma"/>
            <family val="2"/>
          </rPr>
          <t>distance to the target.</t>
        </r>
        <r>
          <rPr>
            <sz val="10"/>
            <color indexed="81"/>
            <rFont val="Tahoma"/>
            <family val="2"/>
          </rPr>
          <t xml:space="preserve"> 
(in meters)</t>
        </r>
      </text>
    </comment>
    <comment ref="F51" authorId="0" shapeId="0" xr:uid="{B5E106FF-F2DE-4668-B373-DE84A15BAD80}">
      <text>
        <r>
          <rPr>
            <sz val="10"/>
            <color indexed="81"/>
            <rFont val="Tahoma"/>
            <family val="2"/>
          </rPr>
          <t xml:space="preserve">  This is the </t>
        </r>
        <r>
          <rPr>
            <sz val="10"/>
            <color indexed="10"/>
            <rFont val="Tahoma"/>
            <family val="2"/>
          </rPr>
          <t xml:space="preserve">Calculated </t>
        </r>
        <r>
          <rPr>
            <u/>
            <sz val="10"/>
            <color indexed="10"/>
            <rFont val="Tahoma"/>
            <family val="2"/>
          </rPr>
          <t>METRIC</t>
        </r>
        <r>
          <rPr>
            <sz val="10"/>
            <color indexed="10"/>
            <rFont val="Tahoma"/>
            <family val="2"/>
          </rPr>
          <t xml:space="preserve"> BAF</t>
        </r>
        <r>
          <rPr>
            <sz val="10"/>
            <color indexed="81"/>
            <rFont val="Tahoma"/>
            <family val="2"/>
          </rPr>
          <t xml:space="preserve"> of that target at that distance, in </t>
        </r>
        <r>
          <rPr>
            <sz val="10"/>
            <color indexed="10"/>
            <rFont val="Tahoma"/>
            <family val="2"/>
          </rPr>
          <t>square meters per hectare.</t>
        </r>
        <r>
          <rPr>
            <sz val="10"/>
            <color indexed="81"/>
            <rFont val="Tahoma"/>
            <family val="2"/>
          </rPr>
          <t xml:space="preserve">
  </t>
        </r>
        <r>
          <rPr>
            <sz val="10"/>
            <color indexed="14"/>
            <rFont val="Tahoma"/>
            <family val="2"/>
          </rPr>
          <t xml:space="preserve">The actual BAF should be defined by the Plot Radius Factor (PRF) that is used to check borderline trees (see part at bottom that calculates this). </t>
        </r>
        <r>
          <rPr>
            <sz val="10"/>
            <color indexed="81"/>
            <rFont val="Tahoma"/>
            <family val="2"/>
          </rPr>
          <t xml:space="preserve"> </t>
        </r>
        <r>
          <rPr>
            <i/>
            <sz val="10"/>
            <color indexed="81"/>
            <rFont val="Tahoma"/>
            <family val="2"/>
          </rPr>
          <t>If you do not check borderline trees,</t>
        </r>
        <r>
          <rPr>
            <sz val="10"/>
            <color indexed="81"/>
            <rFont val="Tahoma"/>
            <family val="2"/>
          </rPr>
          <t xml:space="preserve"> the BAF is this calibrated one, and it depends on the person using the angle guage, as well as the instrument.</t>
        </r>
      </text>
    </comment>
    <comment ref="C52" authorId="0" shapeId="0" xr:uid="{68C5982A-0651-4BF9-86F1-3E576E848326}">
      <text>
        <r>
          <rPr>
            <sz val="10"/>
            <color indexed="81"/>
            <rFont val="Tahoma"/>
            <family val="2"/>
          </rPr>
          <t xml:space="preserve">  Enter a </t>
        </r>
        <r>
          <rPr>
            <sz val="10"/>
            <color indexed="10"/>
            <rFont val="Tahoma"/>
            <family val="2"/>
          </rPr>
          <t>1</t>
        </r>
        <r>
          <rPr>
            <sz val="10"/>
            <color indexed="81"/>
            <rFont val="Tahoma"/>
            <family val="2"/>
          </rPr>
          <t xml:space="preserve"> if you are using a </t>
        </r>
        <r>
          <rPr>
            <sz val="10"/>
            <color indexed="10"/>
            <rFont val="Tahoma"/>
            <family val="2"/>
          </rPr>
          <t>flat</t>
        </r>
        <r>
          <rPr>
            <sz val="10"/>
            <color indexed="81"/>
            <rFont val="Tahoma"/>
            <family val="2"/>
          </rPr>
          <t xml:space="preserve"> target (like a sheet of paper), and a </t>
        </r>
        <r>
          <rPr>
            <sz val="10"/>
            <color indexed="10"/>
            <rFont val="Tahoma"/>
            <family val="2"/>
          </rPr>
          <t>0</t>
        </r>
        <r>
          <rPr>
            <sz val="10"/>
            <color indexed="81"/>
            <rFont val="Tahoma"/>
            <family val="2"/>
          </rPr>
          <t xml:space="preserve"> if you are using a </t>
        </r>
        <r>
          <rPr>
            <sz val="10"/>
            <color indexed="10"/>
            <rFont val="Tahoma"/>
            <family val="2"/>
          </rPr>
          <t>cylinder</t>
        </r>
        <r>
          <rPr>
            <sz val="10"/>
            <color indexed="81"/>
            <rFont val="Tahoma"/>
            <family val="2"/>
          </rPr>
          <t xml:space="preserve"> as the target.
  This is a small correction, but you might as well use it.</t>
        </r>
      </text>
    </comment>
    <comment ref="K52" authorId="2" shapeId="0" xr:uid="{76015579-BFFB-4996-B37D-970A98F79F94}">
      <text>
        <r>
          <rPr>
            <sz val="10"/>
            <color indexed="81"/>
            <rFont val="Tahoma"/>
            <family val="2"/>
          </rPr>
          <t xml:space="preserve">  </t>
        </r>
        <r>
          <rPr>
            <sz val="9"/>
            <color indexed="12"/>
            <rFont val="Tahoma"/>
            <family val="2"/>
          </rPr>
          <t>The gold cells below are here in case you want to make any temporary calculations.</t>
        </r>
      </text>
    </comment>
    <comment ref="H53" authorId="0" shapeId="0" xr:uid="{0067FA17-EE10-4859-B0D0-E8D902F11708}">
      <text>
        <r>
          <rPr>
            <i/>
            <sz val="10"/>
            <color indexed="81"/>
            <rFont val="Tahoma"/>
            <family val="2"/>
          </rPr>
          <t xml:space="preserve">This is the </t>
        </r>
        <r>
          <rPr>
            <i/>
            <u/>
            <sz val="10"/>
            <color indexed="81"/>
            <rFont val="Tahoma"/>
            <family val="2"/>
          </rPr>
          <t>metric</t>
        </r>
        <r>
          <rPr>
            <i/>
            <sz val="10"/>
            <color indexed="10"/>
            <rFont val="Tahoma"/>
            <family val="2"/>
          </rPr>
          <t xml:space="preserve"> Plot Radius Factor</t>
        </r>
        <r>
          <rPr>
            <i/>
            <sz val="10"/>
            <color indexed="81"/>
            <rFont val="Tahoma"/>
            <family val="2"/>
          </rPr>
          <t xml:space="preserve"> for a  BAF in cell F51, from the </t>
        </r>
        <r>
          <rPr>
            <b/>
            <i/>
            <sz val="10"/>
            <color indexed="81"/>
            <rFont val="Tahoma"/>
            <family val="2"/>
          </rPr>
          <t>CENTER</t>
        </r>
        <r>
          <rPr>
            <i/>
            <sz val="10"/>
            <color indexed="81"/>
            <rFont val="Tahoma"/>
            <family val="2"/>
          </rPr>
          <t xml:space="preserve"> of the tree in </t>
        </r>
        <r>
          <rPr>
            <i/>
            <sz val="10"/>
            <color indexed="10"/>
            <rFont val="Tahoma"/>
            <family val="2"/>
          </rPr>
          <t>metres per centimeter</t>
        </r>
        <r>
          <rPr>
            <i/>
            <sz val="10"/>
            <color indexed="81"/>
            <rFont val="Tahoma"/>
            <family val="2"/>
          </rPr>
          <t xml:space="preserve"> of DBH.</t>
        </r>
      </text>
    </comment>
    <comment ref="B55" authorId="0" shapeId="0" xr:uid="{A5005975-6BC8-44C5-9A46-B19DF579A999}">
      <text>
        <r>
          <rPr>
            <sz val="10"/>
            <color indexed="81"/>
            <rFont val="Tahoma"/>
            <family val="2"/>
          </rPr>
          <t xml:space="preserve">  If you want to compute the BAF from a particular Plot Radius Factor, this section will do that.   </t>
        </r>
        <r>
          <rPr>
            <sz val="10"/>
            <color indexed="10"/>
            <rFont val="Tahoma"/>
            <family val="2"/>
          </rPr>
          <t>Enter the Plot Radius Factor here.</t>
        </r>
        <r>
          <rPr>
            <sz val="10"/>
            <color indexed="81"/>
            <rFont val="Tahoma"/>
            <family val="2"/>
          </rPr>
          <t xml:space="preserve">
</t>
        </r>
        <r>
          <rPr>
            <sz val="10"/>
            <color indexed="10"/>
            <rFont val="Tahoma"/>
            <family val="2"/>
          </rPr>
          <t>The way you check borderline trees determines the exact BAF that should be used in compilations.</t>
        </r>
        <r>
          <rPr>
            <sz val="10"/>
            <color indexed="81"/>
            <rFont val="Tahoma"/>
            <family val="2"/>
          </rPr>
          <t xml:space="preserve">   If you check them with the Plot Radius Factor, using a particular number of digits, this is how you should compute the BAF for compiling the data.
  If you determine borderline trees by eye, then you should calibrate the prism for yourself, since everyone views "borderline" a bit differently.  
</t>
        </r>
      </text>
    </comment>
    <comment ref="H55" authorId="0" shapeId="0" xr:uid="{C4EAE1F2-970D-47CB-BAAE-67D4E307680A}">
      <text>
        <r>
          <rPr>
            <i/>
            <sz val="10"/>
            <color indexed="10"/>
            <rFont val="Tahoma"/>
            <family val="2"/>
          </rPr>
          <t xml:space="preserve">  Enter the </t>
        </r>
        <r>
          <rPr>
            <i/>
            <u/>
            <sz val="10"/>
            <color indexed="10"/>
            <rFont val="Tahoma"/>
            <family val="2"/>
          </rPr>
          <t>metric</t>
        </r>
        <r>
          <rPr>
            <i/>
            <sz val="10"/>
            <color indexed="10"/>
            <rFont val="Tahoma"/>
            <family val="2"/>
          </rPr>
          <t xml:space="preserve"> DBH</t>
        </r>
        <r>
          <rPr>
            <i/>
            <sz val="10"/>
            <color indexed="81"/>
            <rFont val="Tahoma"/>
            <family val="2"/>
          </rPr>
          <t xml:space="preserve"> here, and it will compute the "critical distance" to where the tree is "borderline".
  This is initialy set to the metric equivalent of the diameter in inches, and if you normally use metric measurements you might wish to reverse that.</t>
        </r>
      </text>
    </comment>
    <comment ref="D56" authorId="0" shapeId="0" xr:uid="{22B981EF-68E0-4CE9-8458-726949913F97}">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center</t>
        </r>
        <r>
          <rPr>
            <sz val="10"/>
            <color indexed="81"/>
            <rFont val="Tahoma"/>
            <family val="2"/>
          </rPr>
          <t xml:space="preserve"> of a tree in </t>
        </r>
        <r>
          <rPr>
            <sz val="10"/>
            <color indexed="10"/>
            <rFont val="Tahoma"/>
            <family val="2"/>
          </rPr>
          <t>Square metres / hectare.</t>
        </r>
      </text>
    </comment>
    <comment ref="E56" authorId="0" shapeId="0" xr:uid="{07822171-C505-40A8-8C2D-5B8070D9551D}">
      <text>
        <r>
          <rPr>
            <sz val="10"/>
            <color indexed="81"/>
            <rFont val="Tahoma"/>
            <family val="2"/>
          </rPr>
          <t xml:space="preserve">  This is the </t>
        </r>
        <r>
          <rPr>
            <u/>
            <sz val="10"/>
            <color indexed="81"/>
            <rFont val="Tahoma"/>
            <family val="2"/>
          </rPr>
          <t>metric</t>
        </r>
        <r>
          <rPr>
            <sz val="10"/>
            <color indexed="81"/>
            <rFont val="Tahoma"/>
            <family val="2"/>
          </rPr>
          <t xml:space="preserve"> </t>
        </r>
        <r>
          <rPr>
            <sz val="10"/>
            <color indexed="10"/>
            <rFont val="Tahoma"/>
            <family val="2"/>
          </rPr>
          <t>BAF</t>
        </r>
        <r>
          <rPr>
            <sz val="10"/>
            <color indexed="81"/>
            <rFont val="Tahoma"/>
            <family val="2"/>
          </rPr>
          <t xml:space="preserve"> for a Plot Radius Factor (cell C55) measured to the </t>
        </r>
        <r>
          <rPr>
            <sz val="10"/>
            <color indexed="10"/>
            <rFont val="Tahoma"/>
            <family val="2"/>
          </rPr>
          <t>FACE</t>
        </r>
        <r>
          <rPr>
            <sz val="10"/>
            <color indexed="81"/>
            <rFont val="Tahoma"/>
            <family val="2"/>
          </rPr>
          <t xml:space="preserve"> of a tree in </t>
        </r>
        <r>
          <rPr>
            <sz val="10"/>
            <color indexed="10"/>
            <rFont val="Tahoma"/>
            <family val="2"/>
          </rPr>
          <t>Square metres per hectare.</t>
        </r>
      </text>
    </comment>
    <comment ref="G56" authorId="0" shapeId="0" xr:uid="{20F3BB77-9BC3-44AA-9AF4-56A48E245042}">
      <text>
        <r>
          <rPr>
            <sz val="10"/>
            <color indexed="81"/>
            <rFont val="Tahoma"/>
            <family val="2"/>
          </rPr>
          <t xml:space="preserve">  With the diameter (cell H55), and the BAF in this section (cell F51,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CENTER</t>
        </r>
        <r>
          <rPr>
            <sz val="10"/>
            <color indexed="81"/>
            <rFont val="Tahoma"/>
            <family val="2"/>
          </rPr>
          <t xml:space="preserve"> of tree to the edge of plot, in </t>
        </r>
        <r>
          <rPr>
            <sz val="10"/>
            <color indexed="10"/>
            <rFont val="Tahoma"/>
            <family val="2"/>
          </rPr>
          <t>meters.</t>
        </r>
        <r>
          <rPr>
            <sz val="10"/>
            <color indexed="81"/>
            <rFont val="Tahoma"/>
            <family val="2"/>
          </rPr>
          <t xml:space="preserve">
  ------------------------------
  You can also calculate exact Plot Radius Factors from  BAFs you enter in one of the sections below this one.</t>
        </r>
      </text>
    </comment>
    <comment ref="G57" authorId="0" shapeId="0" xr:uid="{A0834B75-CC9F-4B17-BF90-62EEEBACEC31}">
      <text>
        <r>
          <rPr>
            <sz val="10"/>
            <color indexed="81"/>
            <rFont val="Tahoma"/>
            <family val="2"/>
          </rPr>
          <t xml:space="preserve">  With the diameter (cell H55), and the BAF in this section (cell F51, this is the </t>
        </r>
        <r>
          <rPr>
            <sz val="10"/>
            <color indexed="10"/>
            <rFont val="Tahoma"/>
            <family val="2"/>
          </rPr>
          <t>distance at which this tree is "borderline".</t>
        </r>
        <r>
          <rPr>
            <sz val="10"/>
            <color indexed="81"/>
            <rFont val="Tahoma"/>
            <family val="2"/>
          </rPr>
          <t xml:space="preserve">  Distance is from </t>
        </r>
        <r>
          <rPr>
            <sz val="10"/>
            <color indexed="10"/>
            <rFont val="Tahoma"/>
            <family val="2"/>
          </rPr>
          <t>FACE</t>
        </r>
        <r>
          <rPr>
            <sz val="10"/>
            <color indexed="81"/>
            <rFont val="Tahoma"/>
            <family val="2"/>
          </rPr>
          <t xml:space="preserve"> of tree to the edge of plot, in </t>
        </r>
        <r>
          <rPr>
            <sz val="10"/>
            <color indexed="10"/>
            <rFont val="Tahoma"/>
            <family val="2"/>
          </rPr>
          <t>meters.</t>
        </r>
        <r>
          <rPr>
            <sz val="10"/>
            <color indexed="81"/>
            <rFont val="Tahoma"/>
            <family val="2"/>
          </rPr>
          <t xml:space="preserve">
  ------------------------------
  You can also calculate exact Plot Radius Factors from  BAFs you enter in one of the sections below this one.</t>
        </r>
      </text>
    </comment>
    <comment ref="B62" authorId="0" shapeId="0" xr:uid="{0DFD6FE8-EA33-4653-A223-F2FF787C043E}">
      <text>
        <r>
          <rPr>
            <sz val="10"/>
            <color indexed="81"/>
            <rFont val="Tahoma"/>
            <family val="2"/>
          </rPr>
          <t xml:space="preserve">  </t>
        </r>
        <r>
          <rPr>
            <sz val="10"/>
            <color indexed="10"/>
            <rFont val="Tahoma"/>
            <family val="2"/>
          </rPr>
          <t>Enter</t>
        </r>
        <r>
          <rPr>
            <sz val="10"/>
            <color indexed="81"/>
            <rFont val="Tahoma"/>
            <family val="2"/>
          </rPr>
          <t xml:space="preserve"> the </t>
        </r>
        <r>
          <rPr>
            <u/>
            <sz val="10"/>
            <color indexed="81"/>
            <rFont val="Tahoma"/>
            <family val="2"/>
          </rPr>
          <t>English</t>
        </r>
        <r>
          <rPr>
            <sz val="10"/>
            <color indexed="81"/>
            <rFont val="Tahoma"/>
            <family val="2"/>
          </rPr>
          <t xml:space="preserve"> </t>
        </r>
        <r>
          <rPr>
            <sz val="10"/>
            <color indexed="10"/>
            <rFont val="Tahoma"/>
            <family val="2"/>
          </rPr>
          <t>BAF</t>
        </r>
        <r>
          <rPr>
            <sz val="10"/>
            <color indexed="81"/>
            <rFont val="Tahoma"/>
            <family val="2"/>
          </rPr>
          <t xml:space="preserve"> </t>
        </r>
        <r>
          <rPr>
            <sz val="10"/>
            <color indexed="10"/>
            <rFont val="Tahoma"/>
            <family val="2"/>
          </rPr>
          <t xml:space="preserve">in square feet per acre.
</t>
        </r>
      </text>
    </comment>
    <comment ref="E62" authorId="0" shapeId="0" xr:uid="{9A8CEC60-C841-4474-ADB6-6C7BD76443D0}">
      <text>
        <r>
          <rPr>
            <sz val="10"/>
            <color indexed="81"/>
            <rFont val="Tahoma"/>
            <family val="2"/>
          </rPr>
          <t xml:space="preserve">  Enter any </t>
        </r>
        <r>
          <rPr>
            <sz val="10"/>
            <color indexed="10"/>
            <rFont val="Tahoma"/>
            <family val="2"/>
          </rPr>
          <t>DBH in inches</t>
        </r>
        <r>
          <rPr>
            <sz val="10"/>
            <color indexed="81"/>
            <rFont val="Tahoma"/>
            <family val="2"/>
          </rPr>
          <t xml:space="preserve"> for which you want a critical distance.</t>
        </r>
      </text>
    </comment>
    <comment ref="H63" authorId="0" shapeId="0" xr:uid="{3567F4F3-14BC-4DAB-8AF5-93A1093998D3}">
      <text>
        <r>
          <rPr>
            <sz val="10"/>
            <color indexed="81"/>
            <rFont val="Tahoma"/>
            <family val="2"/>
          </rPr>
          <t xml:space="preserve">  This is the </t>
        </r>
        <r>
          <rPr>
            <sz val="10"/>
            <color indexed="10"/>
            <rFont val="Tahoma"/>
            <family val="2"/>
          </rPr>
          <t xml:space="preserve">area of the plot </t>
        </r>
        <r>
          <rPr>
            <sz val="10"/>
            <color indexed="18"/>
            <rFont val="Tahoma"/>
            <family val="2"/>
          </rPr>
          <t>around that tree, in</t>
        </r>
        <r>
          <rPr>
            <sz val="10"/>
            <color indexed="81"/>
            <rFont val="Tahoma"/>
            <family val="2"/>
          </rPr>
          <t xml:space="preserve"> </t>
        </r>
        <r>
          <rPr>
            <sz val="10"/>
            <color indexed="10"/>
            <rFont val="Tahoma"/>
            <family val="2"/>
          </rPr>
          <t>acres,</t>
        </r>
        <r>
          <rPr>
            <sz val="10"/>
            <color indexed="81"/>
            <rFont val="Tahoma"/>
            <family val="2"/>
          </rPr>
          <t xml:space="preserve"> using the DBH and BAF entered.</t>
        </r>
      </text>
    </comment>
    <comment ref="K63" authorId="2" shapeId="0" xr:uid="{0105CD61-5F62-4E53-B7AB-1168A55FB36D}">
      <text>
        <r>
          <rPr>
            <sz val="10"/>
            <color indexed="81"/>
            <rFont val="Tahoma"/>
            <family val="2"/>
          </rPr>
          <t xml:space="preserve">  </t>
        </r>
        <r>
          <rPr>
            <sz val="9"/>
            <color indexed="12"/>
            <rFont val="Tahoma"/>
            <family val="2"/>
          </rPr>
          <t>The gold cell below is here in case you want to make any temporary calculations.</t>
        </r>
      </text>
    </comment>
    <comment ref="D65" authorId="0" shapeId="0" xr:uid="{FFC60CF2-7C6E-412A-8A32-36A43243589C}">
      <text>
        <r>
          <rPr>
            <sz val="10"/>
            <color indexed="81"/>
            <rFont val="Tahoma"/>
            <family val="2"/>
          </rPr>
          <t xml:space="preserve">This is the "Blow-up" Factor of the ENGLISH BAF in cell </t>
        </r>
        <r>
          <rPr>
            <sz val="10"/>
            <color indexed="10"/>
            <rFont val="Tahoma"/>
            <family val="2"/>
          </rPr>
          <t>C62</t>
        </r>
        <r>
          <rPr>
            <sz val="10"/>
            <color indexed="81"/>
            <rFont val="Tahoma"/>
            <family val="2"/>
          </rPr>
          <t xml:space="preserve">.
This is the number of times larger the </t>
        </r>
        <r>
          <rPr>
            <sz val="10"/>
            <color indexed="10"/>
            <rFont val="Tahoma"/>
            <family val="2"/>
          </rPr>
          <t>area of the plot</t>
        </r>
        <r>
          <rPr>
            <sz val="10"/>
            <color indexed="81"/>
            <rFont val="Tahoma"/>
            <family val="2"/>
          </rPr>
          <t xml:space="preserve"> around the tree is than the basal area of </t>
        </r>
        <r>
          <rPr>
            <sz val="10"/>
            <color indexed="10"/>
            <rFont val="Tahoma"/>
            <family val="2"/>
          </rPr>
          <t>the tree</t>
        </r>
        <r>
          <rPr>
            <sz val="10"/>
            <color indexed="81"/>
            <rFont val="Tahoma"/>
            <family val="2"/>
          </rPr>
          <t xml:space="preserve"> itself.  It is constant for any particular angle used.</t>
        </r>
      </text>
    </comment>
    <comment ref="F65" authorId="0" shapeId="0" xr:uid="{F750B5DF-AEC1-494C-A9C0-6C7878C2EB31}">
      <text>
        <r>
          <rPr>
            <sz val="10"/>
            <color indexed="81"/>
            <rFont val="Tahoma"/>
            <family val="2"/>
          </rPr>
          <t xml:space="preserve">  This is the </t>
        </r>
        <r>
          <rPr>
            <u/>
            <sz val="10"/>
            <color indexed="81"/>
            <rFont val="Tahoma"/>
            <family val="2"/>
          </rPr>
          <t>English</t>
        </r>
        <r>
          <rPr>
            <sz val="10"/>
            <color indexed="81"/>
            <rFont val="Tahoma"/>
            <family val="2"/>
          </rPr>
          <t xml:space="preserve"> </t>
        </r>
        <r>
          <rPr>
            <sz val="10"/>
            <color indexed="10"/>
            <rFont val="Tahoma"/>
            <family val="2"/>
          </rPr>
          <t>Plot Radius Factor</t>
        </r>
        <r>
          <rPr>
            <sz val="10"/>
            <color indexed="81"/>
            <rFont val="Tahoma"/>
            <family val="2"/>
          </rPr>
          <t xml:space="preserve"> for that BAF, to the </t>
        </r>
        <r>
          <rPr>
            <u/>
            <sz val="10"/>
            <color indexed="10"/>
            <rFont val="Tahoma"/>
            <family val="2"/>
          </rPr>
          <t>center</t>
        </r>
        <r>
          <rPr>
            <sz val="10"/>
            <color indexed="81"/>
            <rFont val="Tahoma"/>
            <family val="2"/>
          </rPr>
          <t xml:space="preserve"> of the tree, in </t>
        </r>
        <r>
          <rPr>
            <sz val="10"/>
            <color indexed="10"/>
            <rFont val="Tahoma"/>
            <family val="2"/>
          </rPr>
          <t xml:space="preserve">feet per inch of DBH.
</t>
        </r>
        <r>
          <rPr>
            <sz val="10"/>
            <color indexed="18"/>
            <rFont val="Tahoma"/>
            <family val="2"/>
          </rPr>
          <t xml:space="preserve">  Note that the PRF to the </t>
        </r>
        <r>
          <rPr>
            <i/>
            <sz val="10"/>
            <color indexed="18"/>
            <rFont val="Tahoma"/>
            <family val="2"/>
          </rPr>
          <t>face</t>
        </r>
        <r>
          <rPr>
            <sz val="10"/>
            <color indexed="18"/>
            <rFont val="Tahoma"/>
            <family val="2"/>
          </rPr>
          <t xml:space="preserve"> of the tree is also computed in the </t>
        </r>
        <r>
          <rPr>
            <i/>
            <sz val="10"/>
            <color indexed="18"/>
            <rFont val="Tahoma"/>
            <family val="2"/>
          </rPr>
          <t>next section.</t>
        </r>
      </text>
    </comment>
    <comment ref="C66" authorId="2" shapeId="0" xr:uid="{97985C40-54D7-454A-8D9C-726DECA312E6}">
      <text>
        <r>
          <rPr>
            <sz val="10"/>
            <color indexed="81"/>
            <rFont val="Tahoma"/>
            <family val="2"/>
          </rPr>
          <t>This is the angle for the selection of the tree, in degrees, for the BAF you have entered.</t>
        </r>
      </text>
    </comment>
    <comment ref="F66" authorId="0" shapeId="0" xr:uid="{A9E4B550-5D59-4C99-AD8D-D7E70F9619A2}">
      <text>
        <r>
          <rPr>
            <sz val="10"/>
            <color indexed="81"/>
            <rFont val="Tahoma"/>
            <family val="2"/>
          </rPr>
          <t xml:space="preserve">  This is the </t>
        </r>
        <r>
          <rPr>
            <sz val="10"/>
            <color indexed="10"/>
            <rFont val="Tahoma"/>
            <family val="2"/>
          </rPr>
          <t>Plot Radius Factor,</t>
        </r>
        <r>
          <rPr>
            <sz val="10"/>
            <color indexed="81"/>
            <rFont val="Tahoma"/>
            <family val="2"/>
          </rPr>
          <t xml:space="preserve"> in </t>
        </r>
        <r>
          <rPr>
            <sz val="10"/>
            <color indexed="10"/>
            <rFont val="Tahoma"/>
            <family val="2"/>
          </rPr>
          <t>Feet per inch</t>
        </r>
        <r>
          <rPr>
            <sz val="10"/>
            <color indexed="81"/>
            <rFont val="Tahoma"/>
            <family val="2"/>
          </rPr>
          <t xml:space="preserve"> of DBH, from the </t>
        </r>
        <r>
          <rPr>
            <u/>
            <sz val="10"/>
            <color indexed="10"/>
            <rFont val="Tahoma"/>
            <family val="2"/>
          </rPr>
          <t>FACE</t>
        </r>
        <r>
          <rPr>
            <sz val="10"/>
            <color indexed="81"/>
            <rFont val="Tahoma"/>
            <family val="2"/>
          </rPr>
          <t xml:space="preserve"> of the tree to the edge of the plot around that tree.</t>
        </r>
      </text>
    </comment>
    <comment ref="B69" authorId="0" shapeId="0" xr:uid="{D6A27B99-8BD3-4CC5-B939-A6ECCA2A127C}">
      <text>
        <r>
          <rPr>
            <sz val="10"/>
            <color indexed="81"/>
            <rFont val="Tahoma"/>
            <family val="2"/>
          </rPr>
          <t xml:space="preserve">  This is the </t>
        </r>
        <r>
          <rPr>
            <sz val="10"/>
            <color indexed="10"/>
            <rFont val="Tahoma"/>
            <family val="2"/>
          </rPr>
          <t>Metric BAF</t>
        </r>
        <r>
          <rPr>
            <sz val="10"/>
            <color indexed="81"/>
            <rFont val="Tahoma"/>
            <family val="2"/>
          </rPr>
          <t xml:space="preserve"> in square metres per hectare.  On the initial spreadsheet, it is computed from the English BAF (english/4.356).  If you consistently use the Metric BAF you might want to do the calculation in the reverse, or just leave it blank.</t>
        </r>
      </text>
    </comment>
    <comment ref="E69" authorId="0" shapeId="0" xr:uid="{6A87D801-D027-458B-AC1E-65C49DD694BA}">
      <text>
        <r>
          <rPr>
            <sz val="10"/>
            <color indexed="81"/>
            <rFont val="Tahoma"/>
            <family val="2"/>
          </rPr>
          <t xml:space="preserve">  Enter any </t>
        </r>
        <r>
          <rPr>
            <sz val="10"/>
            <color indexed="10"/>
            <rFont val="Tahoma"/>
            <family val="2"/>
          </rPr>
          <t>DBH in centimeters</t>
        </r>
        <r>
          <rPr>
            <sz val="10"/>
            <color indexed="81"/>
            <rFont val="Tahoma"/>
            <family val="2"/>
          </rPr>
          <t xml:space="preserve"> for which you want a critical distance.</t>
        </r>
      </text>
    </comment>
    <comment ref="H69" authorId="0" shapeId="0" xr:uid="{4B6CA369-5C0F-4BE6-9EEE-08C0B3ECEA28}">
      <text>
        <r>
          <rPr>
            <sz val="10"/>
            <color indexed="81"/>
            <rFont val="Tahoma"/>
            <family val="2"/>
          </rPr>
          <t xml:space="preserve">  This is the </t>
        </r>
        <r>
          <rPr>
            <sz val="10"/>
            <color indexed="10"/>
            <rFont val="Tahoma"/>
            <family val="2"/>
          </rPr>
          <t>area of the plot</t>
        </r>
        <r>
          <rPr>
            <sz val="10"/>
            <color indexed="81"/>
            <rFont val="Tahoma"/>
            <family val="2"/>
          </rPr>
          <t xml:space="preserve"> around that tree, in </t>
        </r>
        <r>
          <rPr>
            <sz val="10"/>
            <color indexed="10"/>
            <rFont val="Tahoma"/>
            <family val="2"/>
          </rPr>
          <t>square metres,</t>
        </r>
        <r>
          <rPr>
            <sz val="10"/>
            <color indexed="81"/>
            <rFont val="Tahoma"/>
            <family val="2"/>
          </rPr>
          <t xml:space="preserve"> using the DBH and BAF entered.</t>
        </r>
      </text>
    </comment>
    <comment ref="H70" authorId="0" shapeId="0" xr:uid="{8424EAC1-AD9C-4534-810D-8A21F95098D6}">
      <text>
        <r>
          <rPr>
            <sz val="10"/>
            <color indexed="81"/>
            <rFont val="Tahoma"/>
            <family val="2"/>
          </rPr>
          <t xml:space="preserve">  This is the </t>
        </r>
        <r>
          <rPr>
            <sz val="10"/>
            <color indexed="10"/>
            <rFont val="Tahoma"/>
            <family val="2"/>
          </rPr>
          <t>area of the plot</t>
        </r>
        <r>
          <rPr>
            <sz val="10"/>
            <color indexed="81"/>
            <rFont val="Tahoma"/>
            <family val="2"/>
          </rPr>
          <t xml:space="preserve"> around that tree, </t>
        </r>
        <r>
          <rPr>
            <sz val="10"/>
            <color indexed="10"/>
            <rFont val="Tahoma"/>
            <family val="2"/>
          </rPr>
          <t>in hectares,</t>
        </r>
        <r>
          <rPr>
            <sz val="10"/>
            <color indexed="81"/>
            <rFont val="Tahoma"/>
            <family val="2"/>
          </rPr>
          <t xml:space="preserve"> using the DBH and BAF entered.</t>
        </r>
      </text>
    </comment>
    <comment ref="K70" authorId="2" shapeId="0" xr:uid="{F7CA8749-E191-44FE-AD9D-6CE37E12D737}">
      <text>
        <r>
          <rPr>
            <sz val="10"/>
            <color indexed="81"/>
            <rFont val="Tahoma"/>
            <family val="2"/>
          </rPr>
          <t xml:space="preserve">  </t>
        </r>
        <r>
          <rPr>
            <sz val="9"/>
            <color indexed="12"/>
            <rFont val="Tahoma"/>
            <family val="2"/>
          </rPr>
          <t>The gold cell below is here in case you want to make any temporary calculations.</t>
        </r>
      </text>
    </comment>
    <comment ref="D72" authorId="0" shapeId="0" xr:uid="{1DA995D0-07D3-4F6C-8169-7AD6AE3713F2}">
      <text>
        <r>
          <rPr>
            <sz val="10"/>
            <color indexed="81"/>
            <rFont val="Tahoma"/>
            <family val="2"/>
          </rPr>
          <t xml:space="preserve">This is the "Blow-up" Factor of the METRIC BAF in cell </t>
        </r>
        <r>
          <rPr>
            <sz val="10"/>
            <color indexed="10"/>
            <rFont val="Tahoma"/>
            <family val="2"/>
          </rPr>
          <t>C69</t>
        </r>
        <r>
          <rPr>
            <sz val="10"/>
            <color indexed="81"/>
            <rFont val="Tahoma"/>
            <family val="2"/>
          </rPr>
          <t xml:space="preserve">.
This is the number of times larger the </t>
        </r>
        <r>
          <rPr>
            <sz val="10"/>
            <color indexed="10"/>
            <rFont val="Tahoma"/>
            <family val="2"/>
          </rPr>
          <t>area of the plot</t>
        </r>
        <r>
          <rPr>
            <sz val="10"/>
            <color indexed="81"/>
            <rFont val="Tahoma"/>
            <family val="2"/>
          </rPr>
          <t xml:space="preserve"> around the tree is than the basal area of </t>
        </r>
        <r>
          <rPr>
            <sz val="10"/>
            <color indexed="10"/>
            <rFont val="Tahoma"/>
            <family val="2"/>
          </rPr>
          <t>the tree</t>
        </r>
        <r>
          <rPr>
            <sz val="10"/>
            <color indexed="81"/>
            <rFont val="Tahoma"/>
            <family val="2"/>
          </rPr>
          <t xml:space="preserve"> itself.  It is constant for any particular angle used.</t>
        </r>
      </text>
    </comment>
    <comment ref="F72" authorId="0" shapeId="0" xr:uid="{442FD722-0717-4826-B72F-81ACB5F97514}">
      <text>
        <r>
          <rPr>
            <sz val="10"/>
            <color indexed="81"/>
            <rFont val="Tahoma"/>
            <family val="2"/>
          </rPr>
          <t xml:space="preserve">This is the </t>
        </r>
        <r>
          <rPr>
            <u/>
            <sz val="10"/>
            <color indexed="81"/>
            <rFont val="Tahoma"/>
            <family val="2"/>
          </rPr>
          <t>Metric</t>
        </r>
        <r>
          <rPr>
            <sz val="10"/>
            <color indexed="81"/>
            <rFont val="Tahoma"/>
            <family val="2"/>
          </rPr>
          <t xml:space="preserve"> </t>
        </r>
        <r>
          <rPr>
            <sz val="10"/>
            <color indexed="10"/>
            <rFont val="Tahoma"/>
            <family val="2"/>
          </rPr>
          <t>Plot Radius Factor</t>
        </r>
        <r>
          <rPr>
            <sz val="10"/>
            <color indexed="81"/>
            <rFont val="Tahoma"/>
            <family val="2"/>
          </rPr>
          <t xml:space="preserve"> for that BAF, to the </t>
        </r>
        <r>
          <rPr>
            <u/>
            <sz val="10"/>
            <color indexed="10"/>
            <rFont val="Tahoma"/>
            <family val="2"/>
          </rPr>
          <t>center</t>
        </r>
        <r>
          <rPr>
            <sz val="10"/>
            <color indexed="81"/>
            <rFont val="Tahoma"/>
            <family val="2"/>
          </rPr>
          <t xml:space="preserve"> of the tree, in </t>
        </r>
        <r>
          <rPr>
            <sz val="10"/>
            <color indexed="10"/>
            <rFont val="Tahoma"/>
            <family val="2"/>
          </rPr>
          <t>metres per centimeter</t>
        </r>
        <r>
          <rPr>
            <sz val="10"/>
            <color indexed="81"/>
            <rFont val="Tahoma"/>
            <family val="2"/>
          </rPr>
          <t xml:space="preserve"> of DBH.
  Note that the PRF to the </t>
        </r>
        <r>
          <rPr>
            <i/>
            <sz val="10"/>
            <color indexed="81"/>
            <rFont val="Tahoma"/>
            <family val="2"/>
          </rPr>
          <t>face</t>
        </r>
        <r>
          <rPr>
            <sz val="10"/>
            <color indexed="81"/>
            <rFont val="Tahoma"/>
            <family val="2"/>
          </rPr>
          <t xml:space="preserve"> of the tree is also computed in the </t>
        </r>
        <r>
          <rPr>
            <i/>
            <sz val="10"/>
            <color indexed="81"/>
            <rFont val="Tahoma"/>
            <family val="2"/>
          </rPr>
          <t>next section.</t>
        </r>
      </text>
    </comment>
    <comment ref="H72" authorId="0" shapeId="0" xr:uid="{99CC5B34-6263-48DF-A8C8-419CF50AA22E}">
      <text>
        <r>
          <rPr>
            <sz val="10"/>
            <color indexed="81"/>
            <rFont val="Tahoma"/>
            <family val="2"/>
          </rPr>
          <t xml:space="preserve">  This is the </t>
        </r>
        <r>
          <rPr>
            <sz val="10"/>
            <color indexed="10"/>
            <rFont val="Tahoma"/>
            <family val="2"/>
          </rPr>
          <t>"critical distance"</t>
        </r>
        <r>
          <rPr>
            <sz val="10"/>
            <color indexed="81"/>
            <rFont val="Tahoma"/>
            <family val="2"/>
          </rPr>
          <t xml:space="preserve"> from the </t>
        </r>
        <r>
          <rPr>
            <u/>
            <sz val="10"/>
            <color indexed="81"/>
            <rFont val="Tahoma"/>
            <family val="2"/>
          </rPr>
          <t>center</t>
        </r>
        <r>
          <rPr>
            <sz val="10"/>
            <color indexed="81"/>
            <rFont val="Tahoma"/>
            <family val="2"/>
          </rPr>
          <t xml:space="preserve"> of the tree to the edge of the plot around that tree, </t>
        </r>
        <r>
          <rPr>
            <sz val="10"/>
            <color indexed="10"/>
            <rFont val="Tahoma"/>
            <family val="2"/>
          </rPr>
          <t>in metres,</t>
        </r>
        <r>
          <rPr>
            <sz val="10"/>
            <color indexed="81"/>
            <rFont val="Tahoma"/>
            <family val="2"/>
          </rPr>
          <t xml:space="preserve"> using the BAF and DBH given.</t>
        </r>
      </text>
    </comment>
    <comment ref="B73" authorId="2" shapeId="0" xr:uid="{02698182-7781-4975-A908-15C056C1B285}">
      <text>
        <r>
          <rPr>
            <sz val="10"/>
            <color indexed="81"/>
            <rFont val="Tahoma"/>
            <family val="2"/>
          </rPr>
          <t>This is the angle for the selection of the tree, in degrees, for the BAF you have entered.</t>
        </r>
      </text>
    </comment>
    <comment ref="F73" authorId="0" shapeId="0" xr:uid="{834DCFE8-20F4-46FF-BC38-B666C2409416}">
      <text>
        <r>
          <rPr>
            <i/>
            <sz val="10"/>
            <color indexed="81"/>
            <rFont val="Tahoma"/>
            <family val="2"/>
          </rPr>
          <t xml:space="preserve">  This is the </t>
        </r>
        <r>
          <rPr>
            <i/>
            <sz val="10"/>
            <color indexed="10"/>
            <rFont val="Tahoma"/>
            <family val="2"/>
          </rPr>
          <t>Plot Radius Factor,</t>
        </r>
        <r>
          <rPr>
            <i/>
            <sz val="10"/>
            <color indexed="81"/>
            <rFont val="Tahoma"/>
            <family val="2"/>
          </rPr>
          <t xml:space="preserve"> in </t>
        </r>
        <r>
          <rPr>
            <i/>
            <sz val="10"/>
            <color indexed="10"/>
            <rFont val="Tahoma"/>
            <family val="2"/>
          </rPr>
          <t>Meters per cm</t>
        </r>
        <r>
          <rPr>
            <i/>
            <sz val="10"/>
            <color indexed="81"/>
            <rFont val="Tahoma"/>
            <family val="2"/>
          </rPr>
          <t xml:space="preserve"> of DBH, from the </t>
        </r>
        <r>
          <rPr>
            <i/>
            <u/>
            <sz val="10"/>
            <color indexed="10"/>
            <rFont val="Tahoma"/>
            <family val="2"/>
          </rPr>
          <t>FACE</t>
        </r>
        <r>
          <rPr>
            <i/>
            <sz val="10"/>
            <color indexed="81"/>
            <rFont val="Tahoma"/>
            <family val="2"/>
          </rPr>
          <t xml:space="preserve"> of the tree to the edge of the plot around that tree.</t>
        </r>
      </text>
    </comment>
    <comment ref="B77" authorId="0" shapeId="0" xr:uid="{E0F04CF8-7F59-4285-901A-FD0C26F45A10}">
      <text>
        <r>
          <rPr>
            <sz val="10"/>
            <color indexed="81"/>
            <rFont val="Tahoma"/>
            <family val="2"/>
          </rPr>
          <t xml:space="preserve">  In some compilation programs you do not get the CVs needed for proper cruise planning.  If you get the </t>
        </r>
        <r>
          <rPr>
            <sz val="10"/>
            <color indexed="10"/>
            <rFont val="Tahoma"/>
            <family val="2"/>
          </rPr>
          <t>SE% for the basal area</t>
        </r>
        <r>
          <rPr>
            <sz val="10"/>
            <color indexed="81"/>
            <rFont val="Tahoma"/>
            <family val="2"/>
          </rPr>
          <t xml:space="preserve"> </t>
        </r>
        <r>
          <rPr>
            <u/>
            <sz val="10"/>
            <color indexed="81"/>
            <rFont val="Tahoma"/>
            <family val="2"/>
          </rPr>
          <t>and</t>
        </r>
        <r>
          <rPr>
            <sz val="10"/>
            <color indexed="81"/>
            <rFont val="Tahoma"/>
            <family val="2"/>
          </rPr>
          <t xml:space="preserve"> the </t>
        </r>
        <r>
          <rPr>
            <sz val="10"/>
            <color indexed="10"/>
            <rFont val="Tahoma"/>
            <family val="2"/>
          </rPr>
          <t>total SE%,</t>
        </r>
        <r>
          <rPr>
            <sz val="10"/>
            <color indexed="18"/>
            <rFont val="Tahoma"/>
            <family val="2"/>
          </rPr>
          <t xml:space="preserve"> the CV for the *BAR can be </t>
        </r>
        <r>
          <rPr>
            <u/>
            <sz val="10"/>
            <color indexed="18"/>
            <rFont val="Tahoma"/>
            <family val="2"/>
          </rPr>
          <t>roughly</t>
        </r>
        <r>
          <rPr>
            <sz val="10"/>
            <color indexed="18"/>
            <rFont val="Tahoma"/>
            <family val="2"/>
          </rPr>
          <t xml:space="preserve"> approximated using this section.</t>
        </r>
      </text>
    </comment>
    <comment ref="B78" authorId="0" shapeId="0" xr:uid="{99A2A3CB-8149-4D33-85A4-3CBD539F0D2B}">
      <text>
        <r>
          <rPr>
            <sz val="10"/>
            <color indexed="10"/>
            <rFont val="Tahoma"/>
            <family val="2"/>
          </rPr>
          <t xml:space="preserve">  Enter the SE%</t>
        </r>
        <r>
          <rPr>
            <sz val="10"/>
            <color indexed="81"/>
            <rFont val="Tahoma"/>
            <family val="2"/>
          </rPr>
          <t xml:space="preserve"> for the Basal Area from the compilation results.</t>
        </r>
      </text>
    </comment>
    <comment ref="D78" authorId="0" shapeId="0" xr:uid="{1816DEFD-D7B2-4694-A0E2-76A53B41548C}">
      <text>
        <r>
          <rPr>
            <sz val="10"/>
            <color indexed="10"/>
            <rFont val="Tahoma"/>
            <family val="2"/>
          </rPr>
          <t xml:space="preserve">  </t>
        </r>
        <r>
          <rPr>
            <u/>
            <sz val="10"/>
            <color indexed="10"/>
            <rFont val="Tahoma"/>
            <family val="2"/>
          </rPr>
          <t>Enter</t>
        </r>
        <r>
          <rPr>
            <sz val="10"/>
            <color indexed="10"/>
            <rFont val="Tahoma"/>
            <family val="2"/>
          </rPr>
          <t xml:space="preserve"> the number of sample points</t>
        </r>
        <r>
          <rPr>
            <sz val="10"/>
            <color indexed="81"/>
            <rFont val="Tahoma"/>
            <family val="2"/>
          </rPr>
          <t xml:space="preserve"> for the cruise.</t>
        </r>
      </text>
    </comment>
    <comment ref="G78" authorId="0" shapeId="0" xr:uid="{138F6EE9-D501-4115-9F88-10380D81B8C4}">
      <text>
        <r>
          <rPr>
            <sz val="10"/>
            <color indexed="81"/>
            <rFont val="Tahoma"/>
            <family val="2"/>
          </rPr>
          <t xml:space="preserve">This is a  </t>
        </r>
        <r>
          <rPr>
            <u/>
            <sz val="10"/>
            <color indexed="81"/>
            <rFont val="Tahoma"/>
            <family val="2"/>
          </rPr>
          <t>correct</t>
        </r>
        <r>
          <rPr>
            <sz val="10"/>
            <color indexed="81"/>
            <rFont val="Tahoma"/>
            <family val="2"/>
          </rPr>
          <t xml:space="preserve"> estimate for the </t>
        </r>
        <r>
          <rPr>
            <sz val="10"/>
            <color indexed="10"/>
            <rFont val="Tahoma"/>
            <family val="2"/>
          </rPr>
          <t>CV of the Basal Area.</t>
        </r>
      </text>
    </comment>
    <comment ref="B79" authorId="0" shapeId="0" xr:uid="{17766A06-066C-4160-A595-3EFA64CF671E}">
      <text>
        <r>
          <rPr>
            <sz val="10"/>
            <color indexed="10"/>
            <rFont val="Tahoma"/>
            <family val="2"/>
          </rPr>
          <t xml:space="preserve"> </t>
        </r>
        <r>
          <rPr>
            <u/>
            <sz val="10"/>
            <color indexed="10"/>
            <rFont val="Tahoma"/>
            <family val="2"/>
          </rPr>
          <t>Implied</t>
        </r>
        <r>
          <rPr>
            <sz val="10"/>
            <color indexed="10"/>
            <rFont val="Tahoma"/>
            <family val="2"/>
          </rPr>
          <t xml:space="preserve"> SE%</t>
        </r>
        <r>
          <rPr>
            <sz val="10"/>
            <color indexed="81"/>
            <rFont val="Tahoma"/>
            <family val="2"/>
          </rPr>
          <t xml:space="preserve"> for the *BAR portion of the compilation results.</t>
        </r>
      </text>
    </comment>
    <comment ref="D79" authorId="0" shapeId="0" xr:uid="{000FEE58-902D-43DC-9C66-DBB126FF9FD3}">
      <text>
        <r>
          <rPr>
            <sz val="10"/>
            <color indexed="81"/>
            <rFont val="Tahoma"/>
            <family val="2"/>
          </rPr>
          <t xml:space="preserve">  </t>
        </r>
        <r>
          <rPr>
            <u/>
            <sz val="10"/>
            <color indexed="10"/>
            <rFont val="Tahoma"/>
            <family val="2"/>
          </rPr>
          <t>Enter</t>
        </r>
        <r>
          <rPr>
            <sz val="10"/>
            <color indexed="10"/>
            <rFont val="Tahoma"/>
            <family val="2"/>
          </rPr>
          <t xml:space="preserve"> the number of trees</t>
        </r>
        <r>
          <rPr>
            <sz val="10"/>
            <color indexed="81"/>
            <rFont val="Tahoma"/>
            <family val="2"/>
          </rPr>
          <t xml:space="preserve"> to compute the CV of the *BAR for individual trees.
  You can also enter the number of </t>
        </r>
        <r>
          <rPr>
            <i/>
            <sz val="10"/>
            <color indexed="81"/>
            <rFont val="Tahoma"/>
            <family val="2"/>
          </rPr>
          <t>sample points</t>
        </r>
        <r>
          <rPr>
            <sz val="10"/>
            <color indexed="81"/>
            <rFont val="Tahoma"/>
            <family val="2"/>
          </rPr>
          <t xml:space="preserve"> to estimate the </t>
        </r>
        <r>
          <rPr>
            <i/>
            <sz val="10"/>
            <color indexed="81"/>
            <rFont val="Tahoma"/>
            <family val="2"/>
          </rPr>
          <t>CV of the average *BAR for clusters.</t>
        </r>
      </text>
    </comment>
    <comment ref="G79" authorId="0" shapeId="0" xr:uid="{DB0F32D5-7050-4E0A-8E22-EAADEEE33633}">
      <text>
        <r>
          <rPr>
            <sz val="10"/>
            <color indexed="81"/>
            <rFont val="Tahoma"/>
            <family val="2"/>
          </rPr>
          <t xml:space="preserve">  This is only a </t>
        </r>
        <r>
          <rPr>
            <u/>
            <sz val="10"/>
            <color indexed="10"/>
            <rFont val="Tahoma"/>
            <family val="2"/>
          </rPr>
          <t>rough</t>
        </r>
        <r>
          <rPr>
            <sz val="10"/>
            <color indexed="10"/>
            <rFont val="Tahoma"/>
            <family val="2"/>
          </rPr>
          <t xml:space="preserve"> approximation of the CV for *BAR.</t>
        </r>
        <r>
          <rPr>
            <sz val="10"/>
            <color indexed="81"/>
            <rFont val="Tahoma"/>
            <family val="2"/>
          </rPr>
          <t xml:space="preserve">  
  It is probably better to get this by processing some volumes and values for individual trees from the cruise.  Use any volume table that uses DBH and Ht for this, since the values are relative.</t>
        </r>
      </text>
    </comment>
    <comment ref="B80" authorId="0" shapeId="0" xr:uid="{1B01C21F-82E1-455A-8036-5CBBFA9E10DE}">
      <text>
        <r>
          <rPr>
            <sz val="10"/>
            <color indexed="81"/>
            <rFont val="Tahoma"/>
            <family val="2"/>
          </rPr>
          <t xml:space="preserve">  </t>
        </r>
        <r>
          <rPr>
            <sz val="10"/>
            <color indexed="10"/>
            <rFont val="Tahoma"/>
            <family val="2"/>
          </rPr>
          <t>Enter the SE% for the Total volume (or total value)</t>
        </r>
        <r>
          <rPr>
            <sz val="10"/>
            <color indexed="81"/>
            <rFont val="Tahoma"/>
            <family val="2"/>
          </rPr>
          <t xml:space="preserve">  from the compilation results.  
  If you enter SE% for </t>
        </r>
        <r>
          <rPr>
            <u/>
            <sz val="10"/>
            <color indexed="81"/>
            <rFont val="Tahoma"/>
            <family val="2"/>
          </rPr>
          <t>volume,</t>
        </r>
        <r>
          <rPr>
            <sz val="10"/>
            <color indexed="81"/>
            <rFont val="Tahoma"/>
            <family val="2"/>
          </rPr>
          <t xml:space="preserve"> the </t>
        </r>
        <r>
          <rPr>
            <sz val="10"/>
            <color indexed="10"/>
            <rFont val="Tahoma"/>
            <family val="2"/>
          </rPr>
          <t>CV of the VBAR</t>
        </r>
        <r>
          <rPr>
            <sz val="10"/>
            <color indexed="81"/>
            <rFont val="Tahoma"/>
            <family val="2"/>
          </rPr>
          <t xml:space="preserve"> will be estimated (net or gross).
  If you enter SE% for </t>
        </r>
        <r>
          <rPr>
            <u/>
            <sz val="10"/>
            <color indexed="81"/>
            <rFont val="Tahoma"/>
            <family val="2"/>
          </rPr>
          <t>value,</t>
        </r>
        <r>
          <rPr>
            <sz val="10"/>
            <color indexed="81"/>
            <rFont val="Tahoma"/>
            <family val="2"/>
          </rPr>
          <t xml:space="preserve"> then the </t>
        </r>
        <r>
          <rPr>
            <sz val="10"/>
            <color indexed="10"/>
            <rFont val="Tahoma"/>
            <family val="2"/>
          </rPr>
          <t>CV of the $BAR</t>
        </r>
        <r>
          <rPr>
            <sz val="10"/>
            <color indexed="81"/>
            <rFont val="Tahoma"/>
            <family val="2"/>
          </rPr>
          <t xml:space="preserve"> will be estimated.
    </t>
        </r>
      </text>
    </comment>
    <comment ref="I97" authorId="2" shapeId="0" xr:uid="{27D39A0A-9C4A-4E74-9F68-1FA4F136F9EF}">
      <text>
        <r>
          <rPr>
            <sz val="9"/>
            <color indexed="81"/>
            <rFont val="Tahoma"/>
            <family val="2"/>
          </rPr>
          <t xml:space="preserve">  This is the combined BAF for the 2 prisms together.  
   You can use section 5 to compute the arm lengths for a "stick" angle gauge to make large BAFs.</t>
        </r>
      </text>
    </comment>
  </commentList>
</comments>
</file>

<file path=xl/sharedStrings.xml><?xml version="1.0" encoding="utf-8"?>
<sst xmlns="http://schemas.openxmlformats.org/spreadsheetml/2006/main" count="1494" uniqueCount="333">
  <si>
    <t>Variability</t>
  </si>
  <si>
    <t xml:space="preserve">   Measurement Costs</t>
  </si>
  <si>
    <t xml:space="preserve">  Fixed costs:</t>
  </si>
  <si>
    <t xml:space="preserve"> </t>
  </si>
  <si>
    <t xml:space="preserve">= Cost (TC) </t>
  </si>
  <si>
    <t xml:space="preserve">= Cost (*BAR) </t>
  </si>
  <si>
    <t>which is =&gt;</t>
  </si>
  <si>
    <t xml:space="preserve">  Desired SEc% (Total)==&gt;</t>
  </si>
  <si>
    <t>n points</t>
  </si>
  <si>
    <t>SE%(TC)</t>
  </si>
  <si>
    <t>Total $</t>
  </si>
  <si>
    <t xml:space="preserve"> $/point=</t>
  </si>
  <si>
    <t>n (*BAR)</t>
  </si>
  <si>
    <t>SE%(*BAR)</t>
  </si>
  <si>
    <t>Other #Points Options :</t>
  </si>
  <si>
    <t>Other SE%</t>
  </si>
  <si>
    <t>Start @</t>
  </si>
  <si>
    <t>Increment</t>
  </si>
  <si>
    <t>Opt</t>
  </si>
  <si>
    <t xml:space="preserve">Other </t>
  </si>
  <si>
    <t>Full M</t>
  </si>
  <si>
    <t>Options</t>
  </si>
  <si>
    <t>Optimal</t>
  </si>
  <si>
    <t>Other Options</t>
  </si>
  <si>
    <t>Full Measure</t>
  </si>
  <si>
    <t>SE%^2*R</t>
  </si>
  <si>
    <t>Optimum</t>
  </si>
  <si>
    <t>Inter.</t>
  </si>
  <si>
    <t>Cost</t>
  </si>
  <si>
    <t xml:space="preserve">Fixed </t>
  </si>
  <si>
    <t>Int</t>
  </si>
  <si>
    <t>n(TC)</t>
  </si>
  <si>
    <t>n(VBAR)</t>
  </si>
  <si>
    <t>SE%(VBAR)</t>
  </si>
  <si>
    <t>Interval</t>
  </si>
  <si>
    <t>SE%</t>
  </si>
  <si>
    <t>COST</t>
  </si>
  <si>
    <t>n*BAR</t>
  </si>
  <si>
    <t>nTC</t>
  </si>
  <si>
    <t>increment</t>
  </si>
  <si>
    <t>Ratio</t>
  </si>
  <si>
    <t>Calc.</t>
  </si>
  <si>
    <t>TC</t>
  </si>
  <si>
    <t>VBAR</t>
  </si>
  <si>
    <t>Calc</t>
  </si>
  <si>
    <t>"t" table</t>
  </si>
  <si>
    <t>5%</t>
  </si>
  <si>
    <t>10%</t>
  </si>
  <si>
    <t>50%</t>
  </si>
  <si>
    <t>90%</t>
  </si>
  <si>
    <t>95%</t>
  </si>
  <si>
    <t>Notes =&gt;</t>
  </si>
  <si>
    <t>Other notes can go in this area when they apply to the CURRENT run ............................</t>
  </si>
  <si>
    <t xml:space="preserve">  n points</t>
  </si>
  <si>
    <t>Ave TC?=&gt;</t>
  </si>
  <si>
    <t>&lt;midpoint&gt;</t>
  </si>
  <si>
    <t xml:space="preserve">  n(*BAR)</t>
  </si>
  <si>
    <t>Overall</t>
  </si>
  <si>
    <t>SE%(TOTAL)</t>
  </si>
  <si>
    <t>Field</t>
  </si>
  <si>
    <t xml:space="preserve">    SE%'s</t>
  </si>
  <si>
    <t>Ratio:</t>
  </si>
  <si>
    <t>TC points/ *BAR measure</t>
  </si>
  <si>
    <t>Cost Ratio</t>
  </si>
  <si>
    <t>--------</t>
  </si>
  <si>
    <t>Section for copying calculations noted above</t>
  </si>
  <si>
    <t>SE% =</t>
  </si>
  <si>
    <t>Conf.</t>
  </si>
  <si>
    <t>n =</t>
  </si>
  <si>
    <t>sq. ft/ acre</t>
  </si>
  <si>
    <t>sq. meters/ hectare</t>
  </si>
  <si>
    <t>inf</t>
  </si>
  <si>
    <t xml:space="preserve">   Inches</t>
  </si>
  <si>
    <t>feet</t>
  </si>
  <si>
    <t xml:space="preserve">   cm</t>
  </si>
  <si>
    <t>meters</t>
  </si>
  <si>
    <t xml:space="preserve"> DBH of :</t>
  </si>
  <si>
    <t>Metric</t>
  </si>
  <si>
    <t>(Implied)</t>
  </si>
  <si>
    <t>#  points</t>
  </si>
  <si>
    <t xml:space="preserve"> CV, BA</t>
  </si>
  <si>
    <t>%</t>
  </si>
  <si>
    <t>CV, *BAR</t>
  </si>
  <si>
    <t>Total</t>
  </si>
  <si>
    <t>Vcost (try)</t>
  </si>
  <si>
    <t>Vcost Opt</t>
  </si>
  <si>
    <t>Ratio %</t>
  </si>
  <si>
    <t>T$ ratio</t>
  </si>
  <si>
    <t>= total</t>
  </si>
  <si>
    <t>* modify by start by :</t>
  </si>
  <si>
    <t>* start  TC=</t>
  </si>
  <si>
    <t>* interval=</t>
  </si>
  <si>
    <t>optimal</t>
  </si>
  <si>
    <t>Test</t>
  </si>
  <si>
    <t>or</t>
  </si>
  <si>
    <t xml:space="preserve">    Total $ Efficiency %</t>
  </si>
  <si>
    <t>number</t>
  </si>
  <si>
    <t># Points</t>
  </si>
  <si>
    <t># (*BAR)</t>
  </si>
  <si>
    <t xml:space="preserve">           Full Measure Comparison,  ALL trees measured,  SE% of =&gt;</t>
  </si>
  <si>
    <t xml:space="preserve">     Ratio for lowest cost answer ==&gt;</t>
  </si>
  <si>
    <t>"t" (conf) =</t>
  </si>
  <si>
    <t>cost/point=</t>
  </si>
  <si>
    <t>cost / point=</t>
  </si>
  <si>
    <t>(n*TC) =</t>
  </si>
  <si>
    <t>SE% * t =</t>
  </si>
  <si>
    <t xml:space="preserve">  "BIG BAF multiplier" =</t>
  </si>
  <si>
    <t xml:space="preserve">    "Big BAF" Multiplier =</t>
  </si>
  <si>
    <t>inches</t>
  </si>
  <si>
    <t>cm</t>
  </si>
  <si>
    <t>---- Program to compute equivalent plot size with prism (from tree center) -----</t>
  </si>
  <si>
    <t>[ note : BAF(english)/4.3560 = BAF(metric)]</t>
  </si>
  <si>
    <t xml:space="preserve"> borderline at</t>
  </si>
  <si>
    <t>TC per *BAR</t>
  </si>
  <si>
    <t xml:space="preserve">     BAF:</t>
  </si>
  <si>
    <t>Printing</t>
  </si>
  <si>
    <t xml:space="preserve">  Plot Radius Factor : Face vs. Center of tree</t>
  </si>
  <si>
    <t>Comments</t>
  </si>
  <si>
    <t>Macros</t>
  </si>
  <si>
    <t>(t *  SE%)</t>
  </si>
  <si>
    <t>n = 2</t>
  </si>
  <si>
    <t>n = infinite</t>
  </si>
  <si>
    <t>n = 3</t>
  </si>
  <si>
    <t>Enter PRF</t>
  </si>
  <si>
    <r>
      <t>if PRF</t>
    </r>
    <r>
      <rPr>
        <b/>
        <u/>
        <sz val="9"/>
        <rFont val="Arial"/>
        <family val="2"/>
      </rPr>
      <t>face</t>
    </r>
  </si>
  <si>
    <r>
      <t>if PRF</t>
    </r>
    <r>
      <rPr>
        <b/>
        <u/>
        <sz val="9"/>
        <rFont val="Arial"/>
        <family val="2"/>
      </rPr>
      <t>ctr</t>
    </r>
  </si>
  <si>
    <t>distance</t>
  </si>
  <si>
    <t>BAFe</t>
  </si>
  <si>
    <t># *BARs</t>
  </si>
  <si>
    <t>notes and comments</t>
  </si>
  <si>
    <t>Copies</t>
  </si>
  <si>
    <t>Other Options Section : (Try any combination)</t>
  </si>
  <si>
    <t>y = T 4-27</t>
  </si>
  <si>
    <t>y = S 4-27</t>
  </si>
  <si>
    <t>n</t>
  </si>
  <si>
    <t xml:space="preserve">ROUGH Calculation if CV *BAR not available, but you have (SE% overall) </t>
  </si>
  <si>
    <t>comment</t>
  </si>
  <si>
    <t>click on</t>
  </si>
  <si>
    <t>Protection</t>
  </si>
  <si>
    <t>Changes</t>
  </si>
  <si>
    <t>Alternatives</t>
  </si>
  <si>
    <t>SE% Total</t>
  </si>
  <si>
    <t>"CVac" =&gt;      This is a kind of Total CV for the combination of points and *BAR you are using here</t>
  </si>
  <si>
    <t>About *BAR</t>
  </si>
  <si>
    <r>
      <t>Blow-up Factor(</t>
    </r>
    <r>
      <rPr>
        <b/>
        <sz val="10"/>
        <color indexed="10"/>
        <rFont val="Arial"/>
        <family val="2"/>
      </rPr>
      <t>english</t>
    </r>
    <r>
      <rPr>
        <sz val="10"/>
        <rFont val="Arial"/>
        <family val="2"/>
      </rPr>
      <t>)</t>
    </r>
  </si>
  <si>
    <t xml:space="preserve">   enter 1 if target flat =</t>
  </si>
  <si>
    <t>PRFctr =</t>
  </si>
  <si>
    <t>PRFface =</t>
  </si>
  <si>
    <r>
      <t xml:space="preserve">  </t>
    </r>
    <r>
      <rPr>
        <b/>
        <sz val="10"/>
        <rFont val="Arial"/>
        <family val="2"/>
      </rPr>
      <t>Width</t>
    </r>
    <r>
      <rPr>
        <sz val="10"/>
        <rFont val="Arial"/>
        <family val="2"/>
      </rPr>
      <t xml:space="preserve"> of target =</t>
    </r>
  </si>
  <si>
    <r>
      <t xml:space="preserve"> </t>
    </r>
    <r>
      <rPr>
        <b/>
        <sz val="10"/>
        <rFont val="Arial"/>
        <family val="2"/>
      </rPr>
      <t>Distance</t>
    </r>
    <r>
      <rPr>
        <sz val="10"/>
        <rFont val="Arial"/>
        <family val="2"/>
      </rPr>
      <t xml:space="preserve"> to target =</t>
    </r>
  </si>
  <si>
    <t>calculations</t>
  </si>
  <si>
    <t>METRIC UNITS</t>
  </si>
  <si>
    <t>BAFm</t>
  </si>
  <si>
    <t>ft. per inch Diameter</t>
  </si>
  <si>
    <t>m per cm Diameter</t>
  </si>
  <si>
    <r>
      <t xml:space="preserve">   </t>
    </r>
    <r>
      <rPr>
        <b/>
        <i/>
        <sz val="10"/>
        <color indexed="8"/>
        <rFont val="Arial"/>
        <family val="2"/>
      </rPr>
      <t>or 0</t>
    </r>
    <r>
      <rPr>
        <i/>
        <sz val="10"/>
        <color indexed="8"/>
        <rFont val="Arial"/>
        <family val="2"/>
      </rPr>
      <t xml:space="preserve"> if target is a </t>
    </r>
    <r>
      <rPr>
        <b/>
        <i/>
        <sz val="10"/>
        <color indexed="8"/>
        <rFont val="Arial"/>
        <family val="2"/>
      </rPr>
      <t>cylinder</t>
    </r>
  </si>
  <si>
    <t>centimeters</t>
  </si>
  <si>
    <r>
      <t xml:space="preserve">  To </t>
    </r>
    <r>
      <rPr>
        <b/>
        <sz val="10"/>
        <rFont val="Arial"/>
        <family val="2"/>
      </rPr>
      <t>calibrate</t>
    </r>
    <r>
      <rPr>
        <sz val="10"/>
        <rFont val="Arial"/>
        <family val="2"/>
      </rPr>
      <t xml:space="preserve"> an angle gauge</t>
    </r>
  </si>
  <si>
    <r>
      <t xml:space="preserve"> feet, from tree </t>
    </r>
    <r>
      <rPr>
        <b/>
        <sz val="10"/>
        <rFont val="Arial"/>
        <family val="2"/>
      </rPr>
      <t>center</t>
    </r>
  </si>
  <si>
    <r>
      <t xml:space="preserve">Plot Radius Factor, </t>
    </r>
    <r>
      <rPr>
        <b/>
        <sz val="10"/>
        <color indexed="10"/>
        <rFont val="Arial"/>
        <family val="2"/>
      </rPr>
      <t>face</t>
    </r>
    <r>
      <rPr>
        <sz val="10"/>
        <rFont val="Arial"/>
        <family val="2"/>
      </rPr>
      <t xml:space="preserve"> :</t>
    </r>
  </si>
  <si>
    <t>target width</t>
  </si>
  <si>
    <r>
      <t xml:space="preserve">   or </t>
    </r>
    <r>
      <rPr>
        <b/>
        <sz val="10"/>
        <color indexed="8"/>
        <rFont val="Arial"/>
        <family val="2"/>
      </rPr>
      <t>0</t>
    </r>
    <r>
      <rPr>
        <sz val="10"/>
        <color indexed="8"/>
        <rFont val="Arial"/>
        <family val="2"/>
      </rPr>
      <t xml:space="preserve"> if target is a cylinder</t>
    </r>
  </si>
  <si>
    <r>
      <t xml:space="preserve">Plot Radius Factor, </t>
    </r>
    <r>
      <rPr>
        <b/>
        <sz val="10"/>
        <color indexed="10"/>
        <rFont val="Arial"/>
        <family val="2"/>
      </rPr>
      <t>ctr</t>
    </r>
    <r>
      <rPr>
        <sz val="10"/>
        <rFont val="Arial"/>
        <family val="2"/>
      </rPr>
      <t xml:space="preserve"> :</t>
    </r>
  </si>
  <si>
    <r>
      <t xml:space="preserve">meters from tree </t>
    </r>
    <r>
      <rPr>
        <b/>
        <sz val="10"/>
        <rFont val="Arial"/>
        <family val="2"/>
      </rPr>
      <t>center</t>
    </r>
  </si>
  <si>
    <r>
      <t xml:space="preserve"> feet, from tree </t>
    </r>
    <r>
      <rPr>
        <b/>
        <sz val="10"/>
        <rFont val="Arial"/>
        <family val="2"/>
      </rPr>
      <t>face</t>
    </r>
  </si>
  <si>
    <t xml:space="preserve">Programs to compute BAF from distance to a target:   </t>
  </si>
  <si>
    <t xml:space="preserve">Programs to compute BAF from distance to a target: </t>
  </si>
  <si>
    <r>
      <t xml:space="preserve">  </t>
    </r>
    <r>
      <rPr>
        <b/>
        <sz val="10"/>
        <color indexed="8"/>
        <rFont val="Arial"/>
        <family val="2"/>
      </rPr>
      <t>Plot Radius Factor</t>
    </r>
    <r>
      <rPr>
        <sz val="10"/>
        <color indexed="8"/>
        <rFont val="Arial"/>
        <family val="2"/>
      </rPr>
      <t xml:space="preserve"> : Face vs. Center of tree</t>
    </r>
  </si>
  <si>
    <t>PRF,face =</t>
  </si>
  <si>
    <t>PRF,ctr =</t>
  </si>
  <si>
    <t xml:space="preserve">  English</t>
  </si>
  <si>
    <t>=</t>
  </si>
  <si>
    <t>meters from center</t>
  </si>
  <si>
    <t>meters from face</t>
  </si>
  <si>
    <t>SE%(TC)=</t>
  </si>
  <si>
    <t>SE%(*bar)=</t>
  </si>
  <si>
    <t>SE%comb=</t>
  </si>
  <si>
    <t>notes 1</t>
  </si>
  <si>
    <t>notes 2</t>
  </si>
  <si>
    <t xml:space="preserve">     Ratio for your CHOICE ==&gt;</t>
  </si>
  <si>
    <t>*BAR =</t>
  </si>
  <si>
    <r>
      <t>Ratio</t>
    </r>
    <r>
      <rPr>
        <sz val="8"/>
        <color indexed="8"/>
        <rFont val="Arial"/>
        <family val="2"/>
      </rPr>
      <t xml:space="preserve"> Efficiency</t>
    </r>
  </si>
  <si>
    <t xml:space="preserve">  Conf. % =</t>
  </si>
  <si>
    <t>feet from center</t>
  </si>
  <si>
    <t>feet from face</t>
  </si>
  <si>
    <t>SE%,BA =</t>
  </si>
  <si>
    <t>SE%,*BAR =</t>
  </si>
  <si>
    <t>SE%,Total =</t>
  </si>
  <si>
    <t>x = R 4-27</t>
  </si>
  <si>
    <t>y = U 4-27</t>
  </si>
  <si>
    <t>y = AC 4 - 27</t>
  </si>
  <si>
    <t>y = W 4-27</t>
  </si>
  <si>
    <t>y = AA 4-27</t>
  </si>
  <si>
    <t>x = J  4, 5, 8-24</t>
  </si>
  <si>
    <t>y = N 4,5,8-24</t>
  </si>
  <si>
    <t>x = U 4,5,8-24</t>
  </si>
  <si>
    <t>y = T 4,5,8-24</t>
  </si>
  <si>
    <t>trees/acre</t>
  </si>
  <si>
    <t>trees/ha =</t>
  </si>
  <si>
    <t>degrees</t>
  </si>
  <si>
    <t>angle =</t>
  </si>
  <si>
    <t>see note here</t>
  </si>
  <si>
    <t xml:space="preserve">  CV(TC) =</t>
  </si>
  <si>
    <t xml:space="preserve">  CV(*BAR) =</t>
  </si>
  <si>
    <t xml:space="preserve">         CV(*BAR)</t>
  </si>
  <si>
    <t xml:space="preserve">        CV(TC)</t>
  </si>
  <si>
    <t xml:space="preserve"> TC per *BAR</t>
  </si>
  <si>
    <t xml:space="preserve"> *BAR /TC</t>
  </si>
  <si>
    <t>SE% (TC)</t>
  </si>
  <si>
    <t>SE% (*BAR)</t>
  </si>
  <si>
    <t>"Goal Seek"</t>
  </si>
  <si>
    <t>Info</t>
  </si>
  <si>
    <t>Start Here</t>
  </si>
  <si>
    <t>Cell Colors</t>
  </si>
  <si>
    <t>BAF #2</t>
  </si>
  <si>
    <t>Combined BAF =</t>
  </si>
  <si>
    <t>BAF #1</t>
  </si>
  <si>
    <t xml:space="preserve">    this is the resulting BAF</t>
  </si>
  <si>
    <t xml:space="preserve">    If you need to combine prisms,</t>
  </si>
  <si>
    <t>distance (ft)</t>
  </si>
  <si>
    <t>Compared to Optimum, Total cost &amp; efficiency ratio is ==&gt;</t>
  </si>
  <si>
    <t xml:space="preserve">Total TC plots =  </t>
  </si>
  <si>
    <r>
      <t xml:space="preserve">meters from tree </t>
    </r>
    <r>
      <rPr>
        <b/>
        <sz val="10"/>
        <rFont val="Arial"/>
        <family val="2"/>
      </rPr>
      <t>face</t>
    </r>
  </si>
  <si>
    <t>*** Optimum Calculation of TC vs. *BAR plots Using your test number ratio from section 2</t>
  </si>
  <si>
    <t>ENGLISH UNITS , BAF calculations</t>
  </si>
  <si>
    <t>METRIC UNITS , BAF calculations</t>
  </si>
  <si>
    <r>
      <t xml:space="preserve">Blow-up Factor </t>
    </r>
    <r>
      <rPr>
        <b/>
        <sz val="10"/>
        <color indexed="10"/>
        <rFont val="Arial"/>
        <family val="2"/>
      </rPr>
      <t>(metric)</t>
    </r>
  </si>
  <si>
    <r>
      <t>Using BAF</t>
    </r>
    <r>
      <rPr>
        <b/>
        <sz val="10"/>
        <color indexed="10"/>
        <rFont val="Arial"/>
        <family val="2"/>
      </rPr>
      <t>m</t>
    </r>
  </si>
  <si>
    <r>
      <t>Using BAF</t>
    </r>
    <r>
      <rPr>
        <b/>
        <sz val="10"/>
        <color indexed="10"/>
        <rFont val="Arial"/>
        <family val="2"/>
      </rPr>
      <t>e</t>
    </r>
  </si>
  <si>
    <t xml:space="preserve"> x*y etc E</t>
  </si>
  <si>
    <t xml:space="preserve"> x*y etc C</t>
  </si>
  <si>
    <t xml:space="preserve"> x*y etc A</t>
  </si>
  <si>
    <t>notes 3</t>
  </si>
  <si>
    <t xml:space="preserve"> x*y etc F</t>
  </si>
  <si>
    <t>CV TC</t>
  </si>
  <si>
    <t>CV VBAR</t>
  </si>
  <si>
    <t>SE% desired</t>
  </si>
  <si>
    <t>TCs</t>
  </si>
  <si>
    <t>VBARs</t>
  </si>
  <si>
    <t>SE%tc</t>
  </si>
  <si>
    <t>SE%vbar</t>
  </si>
  <si>
    <t>cost #1, perhaps travel to plot</t>
  </si>
  <si>
    <t>cost #2, other costs PER plot</t>
  </si>
  <si>
    <t>cost #3</t>
  </si>
  <si>
    <r>
      <t>5</t>
    </r>
    <r>
      <rPr>
        <sz val="6"/>
        <color indexed="9"/>
        <rFont val="Arial"/>
        <family val="2"/>
      </rPr>
      <t xml:space="preserve"> </t>
    </r>
    <r>
      <rPr>
        <sz val="10"/>
        <color indexed="9"/>
        <rFont val="Arial"/>
        <family val="2"/>
      </rPr>
      <t>m</t>
    </r>
  </si>
  <si>
    <r>
      <t>5</t>
    </r>
    <r>
      <rPr>
        <sz val="6"/>
        <color indexed="9"/>
        <rFont val="Arial"/>
        <family val="2"/>
      </rPr>
      <t xml:space="preserve"> </t>
    </r>
    <r>
      <rPr>
        <sz val="10"/>
        <color indexed="9"/>
        <rFont val="Arial"/>
        <family val="2"/>
      </rPr>
      <t>e</t>
    </r>
  </si>
  <si>
    <r>
      <t>6</t>
    </r>
    <r>
      <rPr>
        <sz val="6"/>
        <color indexed="9"/>
        <rFont val="Arial"/>
        <family val="2"/>
      </rPr>
      <t xml:space="preserve"> </t>
    </r>
    <r>
      <rPr>
        <sz val="10"/>
        <color indexed="9"/>
        <rFont val="Arial"/>
        <family val="2"/>
      </rPr>
      <t>e</t>
    </r>
  </si>
  <si>
    <r>
      <t>6</t>
    </r>
    <r>
      <rPr>
        <sz val="6"/>
        <color indexed="9"/>
        <rFont val="Arial"/>
        <family val="2"/>
      </rPr>
      <t xml:space="preserve"> </t>
    </r>
    <r>
      <rPr>
        <sz val="10"/>
        <color indexed="9"/>
        <rFont val="Arial"/>
        <family val="2"/>
      </rPr>
      <t>m</t>
    </r>
  </si>
  <si>
    <t>ENGLISH (or "Imperial") UNITS</t>
  </si>
  <si>
    <t xml:space="preserve">Enter Diameter =  </t>
  </si>
  <si>
    <r>
      <rPr>
        <u/>
        <sz val="9"/>
        <rFont val="Arial"/>
        <family val="2"/>
      </rPr>
      <t>IF</t>
    </r>
    <r>
      <rPr>
        <sz val="9"/>
        <rFont val="Arial"/>
        <family val="2"/>
      </rPr>
      <t xml:space="preserve"> PRF</t>
    </r>
    <r>
      <rPr>
        <b/>
        <u/>
        <sz val="9"/>
        <rFont val="Arial"/>
        <family val="2"/>
      </rPr>
      <t>face</t>
    </r>
  </si>
  <si>
    <r>
      <rPr>
        <u/>
        <sz val="9"/>
        <rFont val="Arial"/>
        <family val="2"/>
      </rPr>
      <t>IF</t>
    </r>
    <r>
      <rPr>
        <sz val="9"/>
        <rFont val="Arial"/>
        <family val="2"/>
      </rPr>
      <t xml:space="preserve"> PRF</t>
    </r>
    <r>
      <rPr>
        <b/>
        <u/>
        <sz val="9"/>
        <rFont val="Arial"/>
        <family val="2"/>
      </rPr>
      <t>ctr</t>
    </r>
  </si>
  <si>
    <t>tree circle, sq meters</t>
  </si>
  <si>
    <t>tree circle, sq ft</t>
  </si>
  <si>
    <t>[ note : BAF(english) = BAF(metric)*4.3560]</t>
  </si>
  <si>
    <t>Copy For Printing in Black and White from the areas above</t>
  </si>
  <si>
    <t>x = cells R 4-27</t>
  </si>
  <si>
    <t>using your entered number TC =</t>
  </si>
  <si>
    <t xml:space="preserve"> x*y etc B</t>
  </si>
  <si>
    <t xml:space="preserve"> x*y etc D</t>
  </si>
  <si>
    <t>notes 4</t>
  </si>
  <si>
    <t>tree circle, hectares</t>
  </si>
  <si>
    <t>tree circle, acres</t>
  </si>
  <si>
    <t>example  From J. Bell &amp; Assoc newsletter</t>
  </si>
  <si>
    <r>
      <t>BAF E</t>
    </r>
    <r>
      <rPr>
        <sz val="9"/>
        <rFont val="Arial"/>
        <family val="2"/>
      </rPr>
      <t>nglish</t>
    </r>
  </si>
  <si>
    <t xml:space="preserve">   calculate ==&gt;</t>
  </si>
  <si>
    <t>Total Cost =</t>
  </si>
  <si>
    <t>Total cost=</t>
  </si>
  <si>
    <t>Calculation of "Student-t"</t>
  </si>
  <si>
    <t xml:space="preserve">  Copied from section 1</t>
  </si>
  <si>
    <t xml:space="preserve">      Using "t" (C32)</t>
  </si>
  <si>
    <r>
      <rPr>
        <b/>
        <sz val="9"/>
        <rFont val="Arial"/>
        <family val="2"/>
      </rPr>
      <t>BAF M</t>
    </r>
    <r>
      <rPr>
        <sz val="9"/>
        <rFont val="Arial"/>
        <family val="2"/>
      </rPr>
      <t>etric</t>
    </r>
  </si>
  <si>
    <t xml:space="preserve">     BAF=</t>
  </si>
  <si>
    <t>Programs to compute BAF and other constants</t>
  </si>
  <si>
    <r>
      <t>ft</t>
    </r>
    <r>
      <rPr>
        <vertAlign val="superscript"/>
        <sz val="8"/>
        <rFont val="Arial"/>
        <family val="2"/>
      </rPr>
      <t>2</t>
    </r>
    <r>
      <rPr>
        <sz val="10"/>
        <rFont val="Arial"/>
        <family val="2"/>
      </rPr>
      <t>/ac</t>
    </r>
  </si>
  <si>
    <t xml:space="preserve">      Programs to compute BAF and other constants</t>
  </si>
  <si>
    <t xml:space="preserve"> BAF=</t>
  </si>
  <si>
    <r>
      <t xml:space="preserve">Enter </t>
    </r>
    <r>
      <rPr>
        <sz val="10"/>
        <color rgb="FFFF0000"/>
        <rFont val="Arial"/>
        <family val="2"/>
      </rPr>
      <t>1</t>
    </r>
    <r>
      <rPr>
        <sz val="10"/>
        <rFont val="Arial"/>
        <family val="2"/>
      </rPr>
      <t xml:space="preserve"> if target is flat</t>
    </r>
  </si>
  <si>
    <r>
      <rPr>
        <u/>
        <sz val="10"/>
        <color theme="1"/>
        <rFont val="Arial"/>
        <family val="2"/>
      </rPr>
      <t>or</t>
    </r>
    <r>
      <rPr>
        <sz val="10"/>
        <color theme="1"/>
        <rFont val="Arial"/>
        <family val="2"/>
      </rPr>
      <t xml:space="preserve"> </t>
    </r>
    <r>
      <rPr>
        <sz val="10"/>
        <color rgb="FFFF0000"/>
        <rFont val="Arial"/>
        <family val="2"/>
      </rPr>
      <t>0</t>
    </r>
    <r>
      <rPr>
        <sz val="10"/>
        <color theme="1"/>
        <rFont val="Arial"/>
        <family val="2"/>
      </rPr>
      <t xml:space="preserve"> if target is cylinder</t>
    </r>
  </si>
  <si>
    <t>meters from tree center</t>
  </si>
  <si>
    <t>meters from tree face</t>
  </si>
  <si>
    <t>m2/ha</t>
  </si>
  <si>
    <r>
      <t>ft</t>
    </r>
    <r>
      <rPr>
        <vertAlign val="superscript"/>
        <sz val="8"/>
        <color theme="1"/>
        <rFont val="Arial"/>
        <family val="2"/>
      </rPr>
      <t>2</t>
    </r>
    <r>
      <rPr>
        <sz val="10"/>
        <color theme="1"/>
        <rFont val="Arial"/>
        <family val="2"/>
      </rPr>
      <t>/ac</t>
    </r>
  </si>
  <si>
    <r>
      <t xml:space="preserve">Plot Radius Factor, </t>
    </r>
    <r>
      <rPr>
        <b/>
        <sz val="10"/>
        <color theme="1"/>
        <rFont val="Arial"/>
        <family val="2"/>
      </rPr>
      <t>ctr</t>
    </r>
    <r>
      <rPr>
        <sz val="10"/>
        <color theme="1"/>
        <rFont val="Arial"/>
        <family val="2"/>
      </rPr>
      <t xml:space="preserve"> :</t>
    </r>
  </si>
  <si>
    <r>
      <t xml:space="preserve">Plot Radius Factor, </t>
    </r>
    <r>
      <rPr>
        <b/>
        <sz val="10"/>
        <color theme="1"/>
        <rFont val="Arial"/>
        <family val="2"/>
      </rPr>
      <t>face</t>
    </r>
    <r>
      <rPr>
        <sz val="10"/>
        <color theme="1"/>
        <rFont val="Arial"/>
        <family val="2"/>
      </rPr>
      <t xml:space="preserve"> :</t>
    </r>
  </si>
  <si>
    <r>
      <rPr>
        <u/>
        <sz val="10"/>
        <rFont val="Arial"/>
        <family val="2"/>
      </rPr>
      <t>or</t>
    </r>
    <r>
      <rPr>
        <sz val="10"/>
        <rFont val="Arial"/>
        <family val="2"/>
      </rPr>
      <t xml:space="preserve"> </t>
    </r>
    <r>
      <rPr>
        <b/>
        <sz val="10"/>
        <color rgb="FFC00000"/>
        <rFont val="Arial"/>
        <family val="2"/>
      </rPr>
      <t>0</t>
    </r>
    <r>
      <rPr>
        <sz val="10"/>
        <rFont val="Arial"/>
        <family val="2"/>
      </rPr>
      <t xml:space="preserve"> if target is cylinder</t>
    </r>
  </si>
  <si>
    <r>
      <t>Enter</t>
    </r>
    <r>
      <rPr>
        <sz val="10"/>
        <color theme="1"/>
        <rFont val="Arial"/>
        <family val="2"/>
      </rPr>
      <t xml:space="preserve"> </t>
    </r>
    <r>
      <rPr>
        <b/>
        <sz val="10"/>
        <color rgb="FFC00000"/>
        <rFont val="Arial"/>
        <family val="2"/>
      </rPr>
      <t>1</t>
    </r>
    <r>
      <rPr>
        <sz val="10"/>
        <rFont val="Arial"/>
        <family val="2"/>
      </rPr>
      <t xml:space="preserve"> if target is flat </t>
    </r>
  </si>
  <si>
    <t>ft/inch     ==&gt;</t>
  </si>
  <si>
    <t xml:space="preserve"> m/cm     ==&gt;</t>
  </si>
  <si>
    <t>PRF, ctr =</t>
  </si>
  <si>
    <t>PRF, face =</t>
  </si>
  <si>
    <t>{2023}</t>
  </si>
  <si>
    <t>* modify by start by =====&gt;</t>
  </si>
  <si>
    <r>
      <t xml:space="preserve"> </t>
    </r>
    <r>
      <rPr>
        <u/>
        <sz val="10"/>
        <rFont val="Arial"/>
        <family val="2"/>
      </rPr>
      <t>one</t>
    </r>
    <r>
      <rPr>
        <sz val="10"/>
        <rFont val="Arial"/>
        <family val="2"/>
      </rPr>
      <t xml:space="preserve"> SE% =</t>
    </r>
  </si>
  <si>
    <r>
      <t xml:space="preserve">  </t>
    </r>
    <r>
      <rPr>
        <u/>
        <sz val="10"/>
        <rFont val="Arial"/>
        <family val="2"/>
      </rPr>
      <t>one</t>
    </r>
    <r>
      <rPr>
        <sz val="10"/>
        <rFont val="Arial"/>
        <family val="2"/>
      </rPr>
      <t xml:space="preserve"> SE%</t>
    </r>
  </si>
  <si>
    <t xml:space="preserve"> one SE%(TC)=</t>
  </si>
  <si>
    <t>1 SE% (TC)</t>
  </si>
  <si>
    <r>
      <t xml:space="preserve"> </t>
    </r>
    <r>
      <rPr>
        <b/>
        <u/>
        <sz val="8"/>
        <color rgb="FF000000"/>
        <rFont val="Arial"/>
        <family val="2"/>
      </rPr>
      <t>1</t>
    </r>
    <r>
      <rPr>
        <b/>
        <sz val="8"/>
        <color indexed="8"/>
        <rFont val="Arial"/>
        <family val="2"/>
      </rPr>
      <t xml:space="preserve"> Desired SEc% (Total) ==&gt;</t>
    </r>
  </si>
  <si>
    <r>
      <t>SE%,</t>
    </r>
    <r>
      <rPr>
        <b/>
        <sz val="8"/>
        <rFont val="Arial"/>
        <family val="2"/>
      </rPr>
      <t>BA</t>
    </r>
    <r>
      <rPr>
        <sz val="8"/>
        <rFont val="Arial"/>
        <family val="2"/>
      </rPr>
      <t xml:space="preserve"> =</t>
    </r>
  </si>
  <si>
    <r>
      <t>SE%,</t>
    </r>
    <r>
      <rPr>
        <b/>
        <sz val="8"/>
        <rFont val="Arial"/>
        <family val="2"/>
      </rPr>
      <t>Total</t>
    </r>
    <r>
      <rPr>
        <sz val="8"/>
        <rFont val="Arial"/>
        <family val="2"/>
      </rPr>
      <t xml:space="preserve"> =</t>
    </r>
  </si>
  <si>
    <r>
      <t xml:space="preserve">Compared to Optimum, </t>
    </r>
    <r>
      <rPr>
        <b/>
        <u/>
        <sz val="9"/>
        <rFont val="Arial"/>
        <family val="2"/>
      </rPr>
      <t>Total</t>
    </r>
    <r>
      <rPr>
        <sz val="9"/>
        <rFont val="Arial"/>
        <family val="2"/>
      </rPr>
      <t xml:space="preserve"> cost &amp; efficiency ratio is ==&gt;</t>
    </r>
  </si>
  <si>
    <t xml:space="preserve">                        Optimum Calculation of TC vs. *BAR plots  : version : July, 2023</t>
  </si>
  <si>
    <t xml:space="preserve"> From J. Bell &amp; Assoc newsletter</t>
  </si>
  <si>
    <t>Total cost</t>
  </si>
  <si>
    <t>Cost =</t>
  </si>
  <si>
    <t>Calculation of "Student-t" values</t>
  </si>
  <si>
    <t xml:space="preserve">        Standard</t>
  </si>
  <si>
    <t xml:space="preserve">        From part 1</t>
  </si>
  <si>
    <t>ENGLISH UNITS</t>
  </si>
  <si>
    <r>
      <t xml:space="preserve">  To </t>
    </r>
    <r>
      <rPr>
        <b/>
        <sz val="10"/>
        <rFont val="Arial"/>
        <family val="2"/>
      </rPr>
      <t>calibrate</t>
    </r>
    <r>
      <rPr>
        <sz val="10"/>
        <rFont val="Arial"/>
      </rPr>
      <t xml:space="preserve"> an angle gauge</t>
    </r>
  </si>
  <si>
    <r>
      <t xml:space="preserve">  </t>
    </r>
    <r>
      <rPr>
        <b/>
        <sz val="10"/>
        <rFont val="Arial"/>
        <family val="2"/>
      </rPr>
      <t>Width</t>
    </r>
    <r>
      <rPr>
        <sz val="10"/>
        <rFont val="Arial"/>
      </rPr>
      <t xml:space="preserve"> of target =</t>
    </r>
  </si>
  <si>
    <r>
      <t xml:space="preserve"> </t>
    </r>
    <r>
      <rPr>
        <b/>
        <sz val="10"/>
        <rFont val="Arial"/>
        <family val="2"/>
      </rPr>
      <t>Distance</t>
    </r>
    <r>
      <rPr>
        <sz val="10"/>
        <rFont val="Arial"/>
      </rPr>
      <t xml:space="preserve"> to target =</t>
    </r>
  </si>
  <si>
    <r>
      <t xml:space="preserve">Plot Radius Factor, </t>
    </r>
    <r>
      <rPr>
        <b/>
        <sz val="10"/>
        <color indexed="10"/>
        <rFont val="Arial"/>
        <family val="2"/>
      </rPr>
      <t>ctr</t>
    </r>
    <r>
      <rPr>
        <sz val="10"/>
        <rFont val="Arial"/>
      </rPr>
      <t xml:space="preserve"> :</t>
    </r>
  </si>
  <si>
    <t xml:space="preserve"> x*y etc B </t>
  </si>
  <si>
    <r>
      <t xml:space="preserve">Plot Radius Factor, </t>
    </r>
    <r>
      <rPr>
        <b/>
        <sz val="10"/>
        <color indexed="10"/>
        <rFont val="Arial"/>
        <family val="2"/>
      </rPr>
      <t>face</t>
    </r>
    <r>
      <rPr>
        <sz val="10"/>
        <rFont val="Arial"/>
      </rPr>
      <t xml:space="preserve"> :</t>
    </r>
  </si>
  <si>
    <t>Enter Diameter =</t>
  </si>
  <si>
    <r>
      <t>BAF</t>
    </r>
    <r>
      <rPr>
        <sz val="9"/>
        <rFont val="Arial"/>
        <family val="2"/>
      </rPr>
      <t>english</t>
    </r>
  </si>
  <si>
    <t xml:space="preserve"> x*y etc D </t>
  </si>
  <si>
    <t>BAF metric</t>
  </si>
  <si>
    <t>acres, as a circle</t>
  </si>
  <si>
    <r>
      <t>Blow-up Factor(</t>
    </r>
    <r>
      <rPr>
        <b/>
        <sz val="10"/>
        <color indexed="10"/>
        <rFont val="Arial"/>
        <family val="2"/>
      </rPr>
      <t>english</t>
    </r>
    <r>
      <rPr>
        <sz val="10"/>
        <rFont val="Arial"/>
      </rPr>
      <t>)</t>
    </r>
  </si>
  <si>
    <t>square meters</t>
  </si>
  <si>
    <t>hectares, as a circle</t>
  </si>
  <si>
    <t xml:space="preserve"> x*y etc G </t>
  </si>
  <si>
    <t>using entered number TC =</t>
  </si>
  <si>
    <t>Copy For Printing in Black and White</t>
  </si>
  <si>
    <r>
      <t>Plot Radius Factor</t>
    </r>
    <r>
      <rPr>
        <sz val="10"/>
        <color theme="1"/>
        <rFont val="Arial"/>
        <family val="2"/>
      </rPr>
      <t xml:space="preserve">, </t>
    </r>
    <r>
      <rPr>
        <b/>
        <sz val="10"/>
        <color theme="1"/>
        <rFont val="Arial"/>
        <family val="2"/>
      </rPr>
      <t>face</t>
    </r>
    <r>
      <rPr>
        <sz val="10"/>
        <color theme="1"/>
        <rFont val="Arial"/>
        <family val="2"/>
      </rPr>
      <t xml:space="preserve"> :</t>
    </r>
  </si>
  <si>
    <r>
      <rPr>
        <b/>
        <i/>
        <sz val="10"/>
        <color theme="1"/>
        <rFont val="Arial"/>
        <family val="2"/>
      </rPr>
      <t xml:space="preserve"> BAF</t>
    </r>
    <r>
      <rPr>
        <sz val="10"/>
        <color rgb="FF000000"/>
        <rFont val="Arial"/>
        <family val="2"/>
      </rPr>
      <t>=</t>
    </r>
  </si>
  <si>
    <t>BAF Imperial</t>
  </si>
  <si>
    <t xml:space="preserve">           Other Options Section : (Try any combination)</t>
  </si>
  <si>
    <t xml:space="preserve">           Full Measure Comparison,  ALL trees measured</t>
  </si>
  <si>
    <r>
      <t>cost #3, additional  cost/</t>
    </r>
    <r>
      <rPr>
        <b/>
        <u/>
        <sz val="9"/>
        <color rgb="FFFF0000"/>
        <rFont val="Arial"/>
        <family val="2"/>
      </rPr>
      <t>plot</t>
    </r>
  </si>
  <si>
    <r>
      <t xml:space="preserve">protection password, use   </t>
    </r>
    <r>
      <rPr>
        <b/>
        <sz val="10"/>
        <color rgb="FF00B050"/>
        <rFont val="Arial"/>
        <family val="2"/>
      </rPr>
      <t>"star"</t>
    </r>
    <r>
      <rPr>
        <b/>
        <sz val="10"/>
        <color rgb="FFFF0000"/>
        <rFont val="Arial"/>
        <family val="2"/>
      </rPr>
      <t xml:space="preserve">    [Review/unprotect or protect/enter 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</si>
</sst>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0.0000"/>
    <numFmt numFmtId="166" formatCode="0.0"/>
    <numFmt numFmtId="167" formatCode="0.000"/>
    <numFmt numFmtId="168" formatCode="0.00000"/>
    <numFmt numFmtId="169" formatCode="0.000000"/>
    <numFmt numFmtId="170" formatCode="#,##0.0"/>
    <numFmt numFmtId="171" formatCode="_(* #,##0.0_);_(* \(#,##0.0\);_(* &quot;-&quot;??_);_(@_)"/>
    <numFmt numFmtId="172" formatCode="_(* #,##0_);_(* \(#,##0\);_(* &quot;-&quot;??_);_(@_)"/>
    <numFmt numFmtId="173" formatCode="0.0%"/>
    <numFmt numFmtId="174" formatCode="#,##0.0_);\(#,##0.0\)"/>
    <numFmt numFmtId="175" formatCode="#,##0.000"/>
    <numFmt numFmtId="176" formatCode="#,##0.000_);\(#,##0.000\)"/>
  </numFmts>
  <fonts count="102" x14ac:knownFonts="1">
    <font>
      <sz val="10"/>
      <name val="Arial"/>
    </font>
    <font>
      <sz val="10"/>
      <name val="Arial"/>
      <family val="2"/>
    </font>
    <font>
      <b/>
      <sz val="10"/>
      <color indexed="24"/>
      <name val="Arial"/>
      <family val="2"/>
    </font>
    <font>
      <b/>
      <sz val="8"/>
      <color indexed="24"/>
      <name val="Arial"/>
      <family val="2"/>
    </font>
    <font>
      <sz val="8"/>
      <color indexed="24"/>
      <name val="Arial"/>
      <family val="2"/>
    </font>
    <font>
      <b/>
      <sz val="10"/>
      <color indexed="9"/>
      <name val="Arial"/>
      <family val="2"/>
    </font>
    <font>
      <sz val="10"/>
      <color indexed="9"/>
      <name val="Arial"/>
      <family val="2"/>
    </font>
    <font>
      <sz val="10"/>
      <color indexed="8"/>
      <name val="Arial"/>
      <family val="2"/>
    </font>
    <font>
      <b/>
      <sz val="10"/>
      <color indexed="8"/>
      <name val="Arial"/>
      <family val="2"/>
    </font>
    <font>
      <b/>
      <i/>
      <sz val="10"/>
      <color indexed="8"/>
      <name val="Arial"/>
      <family val="2"/>
    </font>
    <font>
      <b/>
      <sz val="8"/>
      <color indexed="8"/>
      <name val="Arial"/>
      <family val="2"/>
    </font>
    <font>
      <sz val="8"/>
      <color indexed="8"/>
      <name val="Arial"/>
      <family val="2"/>
    </font>
    <font>
      <i/>
      <sz val="10"/>
      <color indexed="8"/>
      <name val="Arial"/>
      <family val="2"/>
    </font>
    <font>
      <b/>
      <i/>
      <sz val="8"/>
      <color indexed="8"/>
      <name val="Arial"/>
      <family val="2"/>
    </font>
    <font>
      <i/>
      <sz val="9"/>
      <name val="Arial"/>
      <family val="2"/>
    </font>
    <font>
      <b/>
      <sz val="10"/>
      <name val="Arial"/>
      <family val="2"/>
    </font>
    <font>
      <sz val="8"/>
      <name val="Arial"/>
      <family val="2"/>
    </font>
    <font>
      <sz val="10"/>
      <name val="Arial"/>
      <family val="2"/>
    </font>
    <font>
      <i/>
      <sz val="8"/>
      <name val="Arial"/>
      <family val="2"/>
    </font>
    <font>
      <sz val="10"/>
      <color indexed="81"/>
      <name val="Tahoma"/>
      <family val="2"/>
    </font>
    <font>
      <b/>
      <sz val="10"/>
      <color indexed="81"/>
      <name val="Tahoma"/>
      <family val="2"/>
    </font>
    <font>
      <u/>
      <sz val="10"/>
      <color indexed="81"/>
      <name val="Tahoma"/>
      <family val="2"/>
    </font>
    <font>
      <sz val="10"/>
      <color indexed="10"/>
      <name val="Tahoma"/>
      <family val="2"/>
    </font>
    <font>
      <sz val="10"/>
      <color indexed="8"/>
      <name val="Tahoma"/>
      <family val="2"/>
    </font>
    <font>
      <sz val="9"/>
      <color indexed="81"/>
      <name val="Tahoma"/>
      <family val="2"/>
    </font>
    <font>
      <u/>
      <sz val="10"/>
      <color indexed="10"/>
      <name val="Tahoma"/>
      <family val="2"/>
    </font>
    <font>
      <sz val="10"/>
      <color indexed="18"/>
      <name val="Tahoma"/>
      <family val="2"/>
    </font>
    <font>
      <i/>
      <sz val="10"/>
      <color indexed="18"/>
      <name val="Tahoma"/>
      <family val="2"/>
    </font>
    <font>
      <i/>
      <sz val="10"/>
      <color indexed="81"/>
      <name val="Tahoma"/>
      <family val="2"/>
    </font>
    <font>
      <i/>
      <sz val="10"/>
      <color indexed="10"/>
      <name val="Tahoma"/>
      <family val="2"/>
    </font>
    <font>
      <i/>
      <u/>
      <sz val="10"/>
      <color indexed="10"/>
      <name val="Tahoma"/>
      <family val="2"/>
    </font>
    <font>
      <sz val="10"/>
      <color indexed="12"/>
      <name val="Tahoma"/>
      <family val="2"/>
    </font>
    <font>
      <u/>
      <sz val="10"/>
      <color indexed="12"/>
      <name val="Tahoma"/>
      <family val="2"/>
    </font>
    <font>
      <i/>
      <sz val="10"/>
      <color indexed="12"/>
      <name val="Tahoma"/>
      <family val="2"/>
    </font>
    <font>
      <sz val="10"/>
      <color indexed="14"/>
      <name val="Tahoma"/>
      <family val="2"/>
    </font>
    <font>
      <sz val="10"/>
      <color indexed="10"/>
      <name val="Arial"/>
      <family val="2"/>
    </font>
    <font>
      <sz val="9"/>
      <name val="Arial"/>
      <family val="2"/>
    </font>
    <font>
      <b/>
      <u/>
      <sz val="9"/>
      <name val="Arial"/>
      <family val="2"/>
    </font>
    <font>
      <u/>
      <sz val="10"/>
      <color indexed="18"/>
      <name val="Tahoma"/>
      <family val="2"/>
    </font>
    <font>
      <u val="double"/>
      <sz val="10"/>
      <color indexed="10"/>
      <name val="Tahoma"/>
      <family val="2"/>
    </font>
    <font>
      <b/>
      <sz val="9"/>
      <name val="Arial"/>
      <family val="2"/>
    </font>
    <font>
      <sz val="10"/>
      <color indexed="10"/>
      <name val="Times New Roman"/>
      <family val="1"/>
    </font>
    <font>
      <sz val="10"/>
      <color indexed="81"/>
      <name val="Arial"/>
      <family val="2"/>
    </font>
    <font>
      <sz val="8"/>
      <color indexed="81"/>
      <name val="Arial"/>
      <family val="2"/>
    </font>
    <font>
      <sz val="8"/>
      <color indexed="10"/>
      <name val="Arial"/>
      <family val="2"/>
    </font>
    <font>
      <b/>
      <sz val="10"/>
      <color indexed="10"/>
      <name val="Tahoma"/>
      <family val="2"/>
    </font>
    <font>
      <i/>
      <u/>
      <sz val="10"/>
      <color indexed="81"/>
      <name val="Tahoma"/>
      <family val="2"/>
    </font>
    <font>
      <b/>
      <sz val="10"/>
      <color indexed="10"/>
      <name val="Arial"/>
      <family val="2"/>
    </font>
    <font>
      <b/>
      <sz val="10"/>
      <color indexed="12"/>
      <name val="Tahoma"/>
      <family val="2"/>
    </font>
    <font>
      <sz val="9"/>
      <color indexed="12"/>
      <name val="Tahoma"/>
      <family val="2"/>
    </font>
    <font>
      <b/>
      <sz val="9"/>
      <color indexed="12"/>
      <name val="Tahoma"/>
      <family val="2"/>
    </font>
    <font>
      <b/>
      <sz val="9"/>
      <color indexed="81"/>
      <name val="Tahoma"/>
      <family val="2"/>
    </font>
    <font>
      <b/>
      <i/>
      <sz val="10"/>
      <color indexed="81"/>
      <name val="Tahoma"/>
      <family val="2"/>
    </font>
    <font>
      <sz val="9"/>
      <color indexed="8"/>
      <name val="Arial"/>
      <family val="2"/>
    </font>
    <font>
      <i/>
      <sz val="8"/>
      <color indexed="8"/>
      <name val="Arial"/>
      <family val="2"/>
    </font>
    <font>
      <i/>
      <sz val="9"/>
      <color indexed="8"/>
      <name val="Arial"/>
      <family val="2"/>
    </font>
    <font>
      <b/>
      <i/>
      <sz val="9"/>
      <color indexed="8"/>
      <name val="Arial"/>
      <family val="2"/>
    </font>
    <font>
      <u/>
      <sz val="8"/>
      <color indexed="8"/>
      <name val="Arial"/>
      <family val="2"/>
    </font>
    <font>
      <i/>
      <sz val="8"/>
      <color indexed="9"/>
      <name val="Arial"/>
      <family val="2"/>
    </font>
    <font>
      <b/>
      <sz val="9"/>
      <color indexed="10"/>
      <name val="Arial"/>
      <family val="2"/>
    </font>
    <font>
      <i/>
      <u/>
      <sz val="10"/>
      <color indexed="12"/>
      <name val="Tahoma"/>
      <family val="2"/>
    </font>
    <font>
      <u val="double"/>
      <sz val="10"/>
      <color indexed="12"/>
      <name val="Tahoma"/>
      <family val="2"/>
    </font>
    <font>
      <b/>
      <sz val="9"/>
      <color indexed="9"/>
      <name val="Arial"/>
      <family val="2"/>
    </font>
    <font>
      <sz val="8"/>
      <color indexed="9"/>
      <name val="Arial"/>
      <family val="2"/>
    </font>
    <font>
      <sz val="9"/>
      <color indexed="10"/>
      <name val="Arial"/>
      <family val="2"/>
    </font>
    <font>
      <b/>
      <sz val="9"/>
      <color indexed="8"/>
      <name val="Arial"/>
      <family val="2"/>
    </font>
    <font>
      <sz val="8"/>
      <name val="Arial"/>
      <family val="2"/>
    </font>
    <font>
      <sz val="10"/>
      <color indexed="55"/>
      <name val="Arial"/>
      <family val="2"/>
    </font>
    <font>
      <sz val="6"/>
      <color indexed="9"/>
      <name val="Arial"/>
      <family val="2"/>
    </font>
    <font>
      <sz val="10"/>
      <color theme="0"/>
      <name val="Arial"/>
      <family val="2"/>
    </font>
    <font>
      <b/>
      <u/>
      <sz val="10"/>
      <color indexed="10"/>
      <name val="Tahoma"/>
      <family val="2"/>
    </font>
    <font>
      <b/>
      <sz val="6"/>
      <color indexed="81"/>
      <name val="Tahoma"/>
      <family val="2"/>
    </font>
    <font>
      <u/>
      <sz val="9"/>
      <name val="Arial"/>
      <family val="2"/>
    </font>
    <font>
      <b/>
      <sz val="8"/>
      <name val="Arial"/>
      <family val="2"/>
    </font>
    <font>
      <b/>
      <sz val="10"/>
      <color rgb="FFFF0000"/>
      <name val="Arial"/>
      <family val="2"/>
    </font>
    <font>
      <b/>
      <sz val="10"/>
      <color theme="0" tint="-0.499984740745262"/>
      <name val="Arial"/>
      <family val="2"/>
    </font>
    <font>
      <b/>
      <sz val="10"/>
      <color theme="1"/>
      <name val="Arial"/>
      <family val="2"/>
    </font>
    <font>
      <sz val="10"/>
      <color theme="1"/>
      <name val="Arial"/>
      <family val="2"/>
    </font>
    <font>
      <sz val="9"/>
      <color theme="1"/>
      <name val="Arial"/>
      <family val="2"/>
    </font>
    <font>
      <u/>
      <sz val="10"/>
      <name val="Arial"/>
      <family val="2"/>
    </font>
    <font>
      <sz val="10"/>
      <color rgb="FFFF0000"/>
      <name val="Arial"/>
      <family val="2"/>
    </font>
    <font>
      <vertAlign val="superscript"/>
      <sz val="8"/>
      <name val="Arial"/>
      <family val="2"/>
    </font>
    <font>
      <u/>
      <sz val="10"/>
      <color theme="1"/>
      <name val="Arial"/>
      <family val="2"/>
    </font>
    <font>
      <vertAlign val="superscript"/>
      <sz val="8"/>
      <color theme="1"/>
      <name val="Arial"/>
      <family val="2"/>
    </font>
    <font>
      <b/>
      <sz val="10"/>
      <color theme="0"/>
      <name val="Arial"/>
      <family val="2"/>
    </font>
    <font>
      <b/>
      <sz val="9"/>
      <color theme="0"/>
      <name val="Arial"/>
      <family val="2"/>
    </font>
    <font>
      <b/>
      <sz val="10"/>
      <color rgb="FF00B050"/>
      <name val="Arial"/>
      <family val="2"/>
    </font>
    <font>
      <b/>
      <sz val="10"/>
      <color rgb="FFC00000"/>
      <name val="Arial"/>
      <family val="2"/>
    </font>
    <font>
      <b/>
      <sz val="10"/>
      <color theme="1" tint="0.499984740745262"/>
      <name val="Arial"/>
      <family val="2"/>
    </font>
    <font>
      <b/>
      <sz val="12"/>
      <color indexed="8"/>
      <name val="Arial"/>
      <family val="2"/>
    </font>
    <font>
      <b/>
      <sz val="12"/>
      <name val="Arial"/>
      <family val="2"/>
    </font>
    <font>
      <b/>
      <sz val="11"/>
      <color indexed="8"/>
      <name val="Arial"/>
      <family val="2"/>
    </font>
    <font>
      <b/>
      <sz val="11"/>
      <name val="Arial"/>
      <family val="2"/>
    </font>
    <font>
      <b/>
      <u/>
      <sz val="8"/>
      <color rgb="FF000000"/>
      <name val="Arial"/>
      <family val="2"/>
    </font>
    <font>
      <sz val="8"/>
      <color indexed="81"/>
      <name val="Tahoma"/>
      <family val="2"/>
    </font>
    <font>
      <b/>
      <sz val="12"/>
      <color theme="1"/>
      <name val="Arial"/>
      <family val="2"/>
    </font>
    <font>
      <b/>
      <u/>
      <sz val="9"/>
      <color rgb="FFFF0000"/>
      <name val="Arial"/>
      <family val="2"/>
    </font>
    <font>
      <b/>
      <u/>
      <sz val="9"/>
      <color indexed="81"/>
      <name val="Tahoma"/>
      <family val="2"/>
    </font>
    <font>
      <b/>
      <i/>
      <sz val="10"/>
      <color theme="1"/>
      <name val="Arial"/>
      <family val="2"/>
    </font>
    <font>
      <sz val="10"/>
      <color rgb="FF000000"/>
      <name val="Arial"/>
      <family val="2"/>
    </font>
    <font>
      <b/>
      <sz val="8"/>
      <color theme="1" tint="0.499984740745262"/>
      <name val="Arial"/>
      <family val="2"/>
    </font>
    <font>
      <b/>
      <sz val="8"/>
      <color theme="0"/>
      <name val="Arial"/>
      <family val="2"/>
    </font>
  </fonts>
  <fills count="62">
    <fill>
      <patternFill patternType="none"/>
    </fill>
    <fill>
      <patternFill patternType="gray125"/>
    </fill>
    <fill>
      <patternFill patternType="solid">
        <fgColor indexed="11"/>
      </patternFill>
    </fill>
    <fill>
      <patternFill patternType="solid">
        <fgColor indexed="51"/>
      </patternFill>
    </fill>
    <fill>
      <patternFill patternType="solid">
        <fgColor indexed="10"/>
      </patternFill>
    </fill>
    <fill>
      <patternFill patternType="solid">
        <fgColor indexed="22"/>
      </patternFill>
    </fill>
    <fill>
      <patternFill patternType="solid">
        <fgColor indexed="65"/>
        <bgColor indexed="64"/>
      </patternFill>
    </fill>
    <fill>
      <patternFill patternType="solid">
        <fgColor indexed="23"/>
      </patternFill>
    </fill>
    <fill>
      <patternFill patternType="solid">
        <fgColor indexed="15"/>
      </patternFill>
    </fill>
    <fill>
      <patternFill patternType="solid">
        <fgColor indexed="19"/>
      </patternFill>
    </fill>
    <fill>
      <patternFill patternType="solid">
        <fgColor indexed="17"/>
      </patternFill>
    </fill>
    <fill>
      <patternFill patternType="solid">
        <fgColor indexed="10"/>
        <bgColor indexed="13"/>
      </patternFill>
    </fill>
    <fill>
      <patternFill patternType="solid">
        <fgColor indexed="65"/>
      </patternFill>
    </fill>
    <fill>
      <patternFill patternType="solid">
        <fgColor indexed="15"/>
        <bgColor indexed="64"/>
      </patternFill>
    </fill>
    <fill>
      <patternFill patternType="solid">
        <fgColor indexed="17"/>
        <bgColor indexed="64"/>
      </patternFill>
    </fill>
    <fill>
      <patternFill patternType="solid">
        <fgColor indexed="50"/>
        <bgColor indexed="64"/>
      </patternFill>
    </fill>
    <fill>
      <patternFill patternType="solid">
        <fgColor indexed="9"/>
        <bgColor indexed="64"/>
      </patternFill>
    </fill>
    <fill>
      <patternFill patternType="solid">
        <fgColor indexed="65"/>
        <bgColor indexed="13"/>
      </patternFill>
    </fill>
    <fill>
      <patternFill patternType="solid">
        <fgColor indexed="47"/>
        <bgColor indexed="64"/>
      </patternFill>
    </fill>
    <fill>
      <patternFill patternType="solid">
        <fgColor indexed="22"/>
        <bgColor indexed="64"/>
      </patternFill>
    </fill>
    <fill>
      <patternFill patternType="solid">
        <fgColor indexed="15"/>
        <bgColor indexed="13"/>
      </patternFill>
    </fill>
    <fill>
      <patternFill patternType="solid">
        <fgColor indexed="19"/>
        <bgColor indexed="64"/>
      </patternFill>
    </fill>
    <fill>
      <patternFill patternType="solid">
        <fgColor indexed="13"/>
        <bgColor indexed="64"/>
      </patternFill>
    </fill>
    <fill>
      <patternFill patternType="solid">
        <fgColor indexed="42"/>
        <bgColor indexed="64"/>
      </patternFill>
    </fill>
    <fill>
      <patternFill patternType="solid">
        <fgColor indexed="13"/>
        <bgColor indexed="13"/>
      </patternFill>
    </fill>
    <fill>
      <patternFill patternType="solid">
        <fgColor indexed="51"/>
        <bgColor indexed="64"/>
      </patternFill>
    </fill>
    <fill>
      <patternFill patternType="solid">
        <fgColor indexed="51"/>
        <bgColor indexed="13"/>
      </patternFill>
    </fill>
    <fill>
      <patternFill patternType="solid">
        <fgColor indexed="13"/>
      </patternFill>
    </fill>
    <fill>
      <patternFill patternType="solid">
        <fgColor indexed="41"/>
        <bgColor indexed="64"/>
      </patternFill>
    </fill>
    <fill>
      <patternFill patternType="solid">
        <fgColor indexed="12"/>
        <bgColor indexed="64"/>
      </patternFill>
    </fill>
    <fill>
      <patternFill patternType="solid">
        <fgColor indexed="47"/>
        <bgColor indexed="15"/>
      </patternFill>
    </fill>
    <fill>
      <patternFill patternType="solid">
        <fgColor indexed="47"/>
        <bgColor indexed="11"/>
      </patternFill>
    </fill>
    <fill>
      <patternFill patternType="solid">
        <fgColor indexed="10"/>
        <bgColor indexed="64"/>
      </patternFill>
    </fill>
    <fill>
      <patternFill patternType="solid">
        <fgColor indexed="10"/>
        <bgColor indexed="11"/>
      </patternFill>
    </fill>
    <fill>
      <patternFill patternType="solid">
        <fgColor indexed="9"/>
        <bgColor indexed="11"/>
      </patternFill>
    </fill>
    <fill>
      <patternFill patternType="solid">
        <fgColor indexed="9"/>
        <bgColor indexed="15"/>
      </patternFill>
    </fill>
    <fill>
      <patternFill patternType="solid">
        <fgColor indexed="9"/>
      </patternFill>
    </fill>
    <fill>
      <patternFill patternType="solid">
        <fgColor indexed="9"/>
        <bgColor indexed="13"/>
      </patternFill>
    </fill>
    <fill>
      <patternFill patternType="solid">
        <fgColor indexed="22"/>
        <bgColor indexed="11"/>
      </patternFill>
    </fill>
    <fill>
      <patternFill patternType="solid">
        <fgColor indexed="23"/>
        <bgColor indexed="19"/>
      </patternFill>
    </fill>
    <fill>
      <patternFill patternType="solid">
        <fgColor rgb="FF00B050"/>
        <bgColor indexed="64"/>
      </patternFill>
    </fill>
    <fill>
      <patternFill patternType="solid">
        <fgColor theme="6"/>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64"/>
      </patternFill>
    </fill>
    <fill>
      <patternFill patternType="solid">
        <fgColor theme="8" tint="0.59999389629810485"/>
        <bgColor indexed="65"/>
      </patternFill>
    </fill>
    <fill>
      <patternFill patternType="solid">
        <fgColor rgb="FFFFFF00"/>
        <bgColor indexed="13"/>
      </patternFill>
    </fill>
    <fill>
      <patternFill patternType="solid">
        <fgColor theme="8" tint="0.59999389629810485"/>
        <bgColor indexed="64"/>
      </patternFill>
    </fill>
    <fill>
      <patternFill patternType="solid">
        <fgColor theme="8" tint="0.59999389629810485"/>
        <bgColor indexed="13"/>
      </patternFill>
    </fill>
    <fill>
      <patternFill patternType="solid">
        <fgColor theme="6"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92D050"/>
        <bgColor indexed="64"/>
      </patternFill>
    </fill>
    <fill>
      <patternFill patternType="solid">
        <fgColor theme="9" tint="-0.249977111117893"/>
        <bgColor indexed="64"/>
      </patternFill>
    </fill>
    <fill>
      <patternFill patternType="solid">
        <fgColor rgb="FFFF7C80"/>
        <bgColor indexed="64"/>
      </patternFill>
    </fill>
  </fills>
  <borders count="79">
    <border>
      <left/>
      <right/>
      <top/>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ck">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ck">
        <color indexed="9"/>
      </left>
      <right style="thick">
        <color indexed="9"/>
      </right>
      <top style="thick">
        <color indexed="9"/>
      </top>
      <bottom/>
      <diagonal/>
    </border>
    <border>
      <left/>
      <right style="thin">
        <color indexed="64"/>
      </right>
      <top style="medium">
        <color indexed="64"/>
      </top>
      <bottom style="thin">
        <color indexed="64"/>
      </bottom>
      <diagonal/>
    </border>
    <border>
      <left/>
      <right/>
      <top/>
      <bottom style="double">
        <color indexed="64"/>
      </bottom>
      <diagonal/>
    </border>
    <border>
      <left style="medium">
        <color indexed="64"/>
      </left>
      <right style="thick">
        <color indexed="9"/>
      </right>
      <top/>
      <bottom style="thick">
        <color indexed="9"/>
      </bottom>
      <diagonal/>
    </border>
    <border>
      <left style="thick">
        <color indexed="9"/>
      </left>
      <right style="thick">
        <color indexed="9"/>
      </right>
      <top/>
      <bottom style="thick">
        <color indexed="9"/>
      </bottom>
      <diagonal/>
    </border>
    <border>
      <left style="thick">
        <color indexed="9"/>
      </left>
      <right style="medium">
        <color indexed="64"/>
      </right>
      <top/>
      <bottom style="thick">
        <color indexed="9"/>
      </bottom>
      <diagonal/>
    </border>
    <border>
      <left/>
      <right style="double">
        <color indexed="64"/>
      </right>
      <top style="double">
        <color indexed="64"/>
      </top>
      <bottom/>
      <diagonal/>
    </border>
    <border>
      <left/>
      <right style="double">
        <color indexed="64"/>
      </right>
      <top/>
      <bottom/>
      <diagonal/>
    </border>
    <border>
      <left style="medium">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ck">
        <color indexed="9"/>
      </left>
      <right/>
      <top style="thick">
        <color indexed="9"/>
      </top>
      <bottom/>
      <diagonal/>
    </border>
    <border>
      <left/>
      <right/>
      <top style="thick">
        <color indexed="9"/>
      </top>
      <bottom/>
      <diagonal/>
    </border>
    <border>
      <left/>
      <right style="thick">
        <color indexed="9"/>
      </right>
      <top style="thick">
        <color indexed="9"/>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bottom style="medium">
        <color indexed="9"/>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ck">
        <color indexed="64"/>
      </right>
      <top style="medium">
        <color indexed="64"/>
      </top>
      <bottom/>
      <diagonal/>
    </border>
    <border>
      <left style="thick">
        <color indexed="64"/>
      </left>
      <right/>
      <top/>
      <bottom/>
      <diagonal/>
    </border>
    <border>
      <left/>
      <right/>
      <top/>
      <bottom style="thick">
        <color indexed="64"/>
      </bottom>
      <diagonal/>
    </border>
    <border>
      <left style="thick">
        <color auto="1"/>
      </left>
      <right/>
      <top/>
      <bottom style="medium">
        <color indexed="64"/>
      </bottom>
      <diagonal/>
    </border>
    <border>
      <left style="thick">
        <color indexed="64"/>
      </left>
      <right/>
      <top style="medium">
        <color indexed="64"/>
      </top>
      <bottom/>
      <diagonal/>
    </border>
    <border>
      <left style="thick">
        <color indexed="64"/>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double">
        <color indexed="64"/>
      </left>
      <right/>
      <top style="thick">
        <color indexed="64"/>
      </top>
      <bottom style="thick">
        <color indexed="64"/>
      </bottom>
      <diagonal/>
    </border>
    <border>
      <left/>
      <right style="double">
        <color indexed="64"/>
      </right>
      <top style="thick">
        <color indexed="64"/>
      </top>
      <bottom style="thick">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84">
    <xf numFmtId="0" fontId="0" fillId="0" borderId="0" xfId="0"/>
    <xf numFmtId="2" fontId="8" fillId="6" borderId="1" xfId="0" applyNumberFormat="1" applyFont="1" applyFill="1" applyBorder="1"/>
    <xf numFmtId="2" fontId="8" fillId="7" borderId="0" xfId="0" applyNumberFormat="1" applyFont="1" applyFill="1"/>
    <xf numFmtId="2" fontId="0" fillId="7" borderId="0" xfId="0" applyNumberFormat="1" applyFill="1"/>
    <xf numFmtId="2" fontId="0" fillId="8" borderId="0" xfId="0" applyNumberFormat="1" applyFill="1"/>
    <xf numFmtId="2" fontId="0" fillId="6" borderId="0" xfId="0" applyNumberFormat="1" applyFill="1" applyAlignment="1">
      <alignment horizontal="center"/>
    </xf>
    <xf numFmtId="2" fontId="0" fillId="9" borderId="0" xfId="0" applyNumberFormat="1" applyFill="1"/>
    <xf numFmtId="2" fontId="0" fillId="2" borderId="0" xfId="0" applyNumberFormat="1" applyFill="1"/>
    <xf numFmtId="2" fontId="0" fillId="10" borderId="0" xfId="0" applyNumberFormat="1" applyFill="1"/>
    <xf numFmtId="2" fontId="5" fillId="11" borderId="0" xfId="0" applyNumberFormat="1" applyFont="1" applyFill="1"/>
    <xf numFmtId="2" fontId="0" fillId="6" borderId="0" xfId="0" applyNumberFormat="1" applyFill="1"/>
    <xf numFmtId="2" fontId="0" fillId="12" borderId="0" xfId="0" applyNumberFormat="1" applyFill="1"/>
    <xf numFmtId="2" fontId="7" fillId="12" borderId="0" xfId="0" applyNumberFormat="1" applyFont="1" applyFill="1"/>
    <xf numFmtId="2" fontId="8" fillId="12" borderId="2" xfId="0" applyNumberFormat="1" applyFont="1" applyFill="1" applyBorder="1"/>
    <xf numFmtId="2" fontId="7" fillId="12" borderId="3" xfId="0" applyNumberFormat="1" applyFont="1" applyFill="1" applyBorder="1"/>
    <xf numFmtId="2" fontId="8" fillId="12" borderId="0" xfId="0" applyNumberFormat="1" applyFont="1" applyFill="1"/>
    <xf numFmtId="2" fontId="3" fillId="12" borderId="0" xfId="0" applyNumberFormat="1" applyFont="1" applyFill="1"/>
    <xf numFmtId="2" fontId="8" fillId="12" borderId="4" xfId="0" applyNumberFormat="1" applyFont="1" applyFill="1" applyBorder="1"/>
    <xf numFmtId="2" fontId="7" fillId="12" borderId="5" xfId="0" applyNumberFormat="1" applyFont="1" applyFill="1" applyBorder="1"/>
    <xf numFmtId="2" fontId="2" fillId="12" borderId="0" xfId="0" applyNumberFormat="1" applyFont="1" applyFill="1"/>
    <xf numFmtId="0" fontId="0" fillId="6" borderId="0" xfId="0" applyFill="1"/>
    <xf numFmtId="1" fontId="0" fillId="13" borderId="0" xfId="0" applyNumberFormat="1" applyFill="1"/>
    <xf numFmtId="2" fontId="0" fillId="13" borderId="0" xfId="0" applyNumberFormat="1" applyFill="1"/>
    <xf numFmtId="165" fontId="0" fillId="13" borderId="0" xfId="0" applyNumberFormat="1" applyFill="1"/>
    <xf numFmtId="2" fontId="0" fillId="14" borderId="0" xfId="0" applyNumberFormat="1" applyFill="1"/>
    <xf numFmtId="2" fontId="0" fillId="15" borderId="0" xfId="0" applyNumberFormat="1" applyFill="1"/>
    <xf numFmtId="10" fontId="5" fillId="11" borderId="0" xfId="0" applyNumberFormat="1" applyFont="1" applyFill="1" applyAlignment="1">
      <alignment horizontal="center"/>
    </xf>
    <xf numFmtId="2" fontId="5" fillId="11" borderId="6" xfId="0" applyNumberFormat="1" applyFont="1" applyFill="1" applyBorder="1" applyAlignment="1">
      <alignment horizontal="center"/>
    </xf>
    <xf numFmtId="2" fontId="7" fillId="16" borderId="0" xfId="0" applyNumberFormat="1" applyFont="1" applyFill="1"/>
    <xf numFmtId="2" fontId="0" fillId="6" borderId="7" xfId="0" applyNumberFormat="1" applyFill="1" applyBorder="1"/>
    <xf numFmtId="2" fontId="9" fillId="6" borderId="0" xfId="0" applyNumberFormat="1" applyFont="1" applyFill="1"/>
    <xf numFmtId="2" fontId="13" fillId="6" borderId="0" xfId="0" applyNumberFormat="1" applyFont="1" applyFill="1" applyAlignment="1">
      <alignment horizontal="left" indent="1"/>
    </xf>
    <xf numFmtId="2" fontId="0" fillId="12" borderId="0" xfId="0" applyNumberFormat="1" applyFill="1" applyAlignment="1">
      <alignment horizontal="center"/>
    </xf>
    <xf numFmtId="2" fontId="0" fillId="6" borderId="0" xfId="0" applyNumberFormat="1" applyFill="1" applyAlignment="1">
      <alignment horizontal="left"/>
    </xf>
    <xf numFmtId="2" fontId="11" fillId="6" borderId="0" xfId="0" applyNumberFormat="1" applyFont="1" applyFill="1" applyAlignment="1">
      <alignment horizontal="center"/>
    </xf>
    <xf numFmtId="2" fontId="10" fillId="6" borderId="0" xfId="0" applyNumberFormat="1" applyFont="1" applyFill="1"/>
    <xf numFmtId="2" fontId="0" fillId="17" borderId="0" xfId="0" applyNumberFormat="1" applyFill="1"/>
    <xf numFmtId="2" fontId="0" fillId="16" borderId="0" xfId="0" applyNumberFormat="1" applyFill="1"/>
    <xf numFmtId="2" fontId="0" fillId="18" borderId="9" xfId="0" applyNumberFormat="1" applyFill="1" applyBorder="1"/>
    <xf numFmtId="2" fontId="8" fillId="19" borderId="0" xfId="0" applyNumberFormat="1" applyFont="1" applyFill="1" applyAlignment="1">
      <alignment horizontal="center"/>
    </xf>
    <xf numFmtId="2" fontId="15" fillId="13" borderId="0" xfId="0" applyNumberFormat="1" applyFont="1" applyFill="1" applyAlignment="1">
      <alignment horizontal="center"/>
    </xf>
    <xf numFmtId="165" fontId="0" fillId="13" borderId="10" xfId="0" applyNumberFormat="1" applyFill="1" applyBorder="1"/>
    <xf numFmtId="165" fontId="0" fillId="13" borderId="11" xfId="0" applyNumberFormat="1" applyFill="1" applyBorder="1"/>
    <xf numFmtId="1" fontId="0" fillId="13" borderId="0" xfId="0" quotePrefix="1" applyNumberFormat="1" applyFill="1" applyAlignment="1">
      <alignment horizontal="right"/>
    </xf>
    <xf numFmtId="1" fontId="0" fillId="13" borderId="12" xfId="0" quotePrefix="1" applyNumberFormat="1" applyFill="1" applyBorder="1" applyAlignment="1">
      <alignment horizontal="right"/>
    </xf>
    <xf numFmtId="2" fontId="0" fillId="18" borderId="0" xfId="0" applyNumberFormat="1" applyFill="1"/>
    <xf numFmtId="10" fontId="0" fillId="21" borderId="0" xfId="0" applyNumberFormat="1" applyFill="1"/>
    <xf numFmtId="10" fontId="0" fillId="9" borderId="0" xfId="0" applyNumberFormat="1" applyFill="1"/>
    <xf numFmtId="0" fontId="0" fillId="22" borderId="0" xfId="0" applyFill="1"/>
    <xf numFmtId="173" fontId="0" fillId="15" borderId="0" xfId="0" applyNumberFormat="1" applyFill="1"/>
    <xf numFmtId="173" fontId="0" fillId="10" borderId="0" xfId="0" applyNumberFormat="1" applyFill="1"/>
    <xf numFmtId="173" fontId="0" fillId="14" borderId="0" xfId="0" applyNumberFormat="1" applyFill="1"/>
    <xf numFmtId="2" fontId="0" fillId="18" borderId="0" xfId="0" applyNumberFormat="1" applyFill="1" applyAlignment="1">
      <alignment horizontal="right"/>
    </xf>
    <xf numFmtId="2" fontId="15" fillId="18" borderId="0" xfId="0" applyNumberFormat="1" applyFont="1" applyFill="1"/>
    <xf numFmtId="2" fontId="0" fillId="8" borderId="15" xfId="0" applyNumberFormat="1" applyFill="1" applyBorder="1"/>
    <xf numFmtId="2" fontId="0" fillId="8" borderId="16" xfId="0" applyNumberFormat="1" applyFill="1" applyBorder="1"/>
    <xf numFmtId="2" fontId="0" fillId="8" borderId="17" xfId="0" applyNumberFormat="1" applyFill="1" applyBorder="1"/>
    <xf numFmtId="2" fontId="0" fillId="8" borderId="18" xfId="0" applyNumberFormat="1" applyFill="1" applyBorder="1"/>
    <xf numFmtId="2" fontId="0" fillId="8" borderId="0" xfId="0" applyNumberFormat="1" applyFill="1" applyAlignment="1">
      <alignment horizontal="right"/>
    </xf>
    <xf numFmtId="2" fontId="0" fillId="8" borderId="19" xfId="0" applyNumberFormat="1" applyFill="1" applyBorder="1"/>
    <xf numFmtId="2" fontId="0" fillId="8" borderId="20" xfId="0" applyNumberFormat="1" applyFill="1" applyBorder="1"/>
    <xf numFmtId="2" fontId="0" fillId="18" borderId="18" xfId="0" applyNumberFormat="1" applyFill="1" applyBorder="1"/>
    <xf numFmtId="2" fontId="0" fillId="18" borderId="18" xfId="0" applyNumberFormat="1" applyFill="1" applyBorder="1" applyAlignment="1">
      <alignment horizontal="right"/>
    </xf>
    <xf numFmtId="2" fontId="0" fillId="18" borderId="19" xfId="0" applyNumberFormat="1" applyFill="1" applyBorder="1" applyAlignment="1">
      <alignment horizontal="right"/>
    </xf>
    <xf numFmtId="2" fontId="0" fillId="19" borderId="22" xfId="0" applyNumberFormat="1" applyFill="1" applyBorder="1" applyAlignment="1">
      <alignment horizontal="center"/>
    </xf>
    <xf numFmtId="3" fontId="0" fillId="19" borderId="23" xfId="0" applyNumberFormat="1" applyFill="1" applyBorder="1" applyAlignment="1">
      <alignment horizontal="center"/>
    </xf>
    <xf numFmtId="2" fontId="0" fillId="19" borderId="23" xfId="0" applyNumberFormat="1" applyFill="1" applyBorder="1" applyAlignment="1">
      <alignment horizontal="center"/>
    </xf>
    <xf numFmtId="2" fontId="0" fillId="16" borderId="0" xfId="0" applyNumberFormat="1" applyFill="1" applyAlignment="1">
      <alignment horizontal="left"/>
    </xf>
    <xf numFmtId="2" fontId="0" fillId="23" borderId="0" xfId="0" applyNumberFormat="1" applyFill="1"/>
    <xf numFmtId="2" fontId="0" fillId="23" borderId="15" xfId="0" applyNumberFormat="1" applyFill="1" applyBorder="1"/>
    <xf numFmtId="2" fontId="0" fillId="23" borderId="20" xfId="0" applyNumberFormat="1" applyFill="1" applyBorder="1"/>
    <xf numFmtId="2" fontId="15" fillId="23" borderId="0" xfId="0" applyNumberFormat="1" applyFont="1" applyFill="1"/>
    <xf numFmtId="2" fontId="9" fillId="18" borderId="24" xfId="0" applyNumberFormat="1" applyFont="1" applyFill="1" applyBorder="1"/>
    <xf numFmtId="2" fontId="8" fillId="18" borderId="18" xfId="0" applyNumberFormat="1" applyFont="1" applyFill="1" applyBorder="1" applyAlignment="1">
      <alignment horizontal="left"/>
    </xf>
    <xf numFmtId="2" fontId="12" fillId="18" borderId="18" xfId="0" applyNumberFormat="1" applyFont="1" applyFill="1" applyBorder="1"/>
    <xf numFmtId="2" fontId="0" fillId="18" borderId="17" xfId="0" applyNumberFormat="1" applyFill="1" applyBorder="1"/>
    <xf numFmtId="2" fontId="0" fillId="18" borderId="20" xfId="0" applyNumberFormat="1" applyFill="1" applyBorder="1"/>
    <xf numFmtId="2" fontId="0" fillId="18" borderId="25" xfId="0" applyNumberFormat="1" applyFill="1" applyBorder="1"/>
    <xf numFmtId="2" fontId="8" fillId="23" borderId="18" xfId="0" applyNumberFormat="1" applyFont="1" applyFill="1" applyBorder="1" applyAlignment="1">
      <alignment horizontal="left"/>
    </xf>
    <xf numFmtId="2" fontId="0" fillId="18" borderId="26" xfId="0" applyNumberFormat="1" applyFill="1" applyBorder="1"/>
    <xf numFmtId="2" fontId="0" fillId="18" borderId="27" xfId="0" applyNumberFormat="1" applyFill="1" applyBorder="1"/>
    <xf numFmtId="2" fontId="15" fillId="18" borderId="27" xfId="0" applyNumberFormat="1" applyFont="1" applyFill="1" applyBorder="1" applyAlignment="1">
      <alignment horizontal="center"/>
    </xf>
    <xf numFmtId="2" fontId="0" fillId="18" borderId="28" xfId="0" applyNumberFormat="1" applyFill="1" applyBorder="1"/>
    <xf numFmtId="2" fontId="0" fillId="18" borderId="18" xfId="0" quotePrefix="1" applyNumberFormat="1" applyFill="1" applyBorder="1"/>
    <xf numFmtId="2" fontId="9" fillId="18" borderId="24" xfId="0" applyNumberFormat="1" applyFont="1" applyFill="1" applyBorder="1" applyAlignment="1">
      <alignment horizontal="right"/>
    </xf>
    <xf numFmtId="2" fontId="8" fillId="23" borderId="24" xfId="0" applyNumberFormat="1" applyFont="1" applyFill="1" applyBorder="1"/>
    <xf numFmtId="2" fontId="17" fillId="23" borderId="18" xfId="0" applyNumberFormat="1" applyFont="1" applyFill="1" applyBorder="1"/>
    <xf numFmtId="2" fontId="17" fillId="23" borderId="0" xfId="0" applyNumberFormat="1" applyFont="1" applyFill="1"/>
    <xf numFmtId="2" fontId="17" fillId="23" borderId="0" xfId="0" applyNumberFormat="1" applyFont="1" applyFill="1" applyAlignment="1">
      <alignment horizontal="right"/>
    </xf>
    <xf numFmtId="2" fontId="7" fillId="23" borderId="18" xfId="0" applyNumberFormat="1" applyFont="1" applyFill="1" applyBorder="1"/>
    <xf numFmtId="167" fontId="8" fillId="19" borderId="6" xfId="0" applyNumberFormat="1" applyFont="1" applyFill="1" applyBorder="1"/>
    <xf numFmtId="167" fontId="15" fillId="19" borderId="6" xfId="0" applyNumberFormat="1" applyFont="1" applyFill="1" applyBorder="1"/>
    <xf numFmtId="2" fontId="15" fillId="19" borderId="33" xfId="0" applyNumberFormat="1" applyFont="1" applyFill="1" applyBorder="1" applyAlignment="1">
      <alignment horizontal="center"/>
    </xf>
    <xf numFmtId="165" fontId="15" fillId="19" borderId="33" xfId="0" applyNumberFormat="1" applyFont="1" applyFill="1" applyBorder="1" applyAlignment="1">
      <alignment horizontal="center"/>
    </xf>
    <xf numFmtId="2" fontId="15" fillId="23" borderId="15" xfId="0" applyNumberFormat="1" applyFont="1" applyFill="1" applyBorder="1" applyAlignment="1">
      <alignment horizontal="center"/>
    </xf>
    <xf numFmtId="2" fontId="7" fillId="23" borderId="21" xfId="0" applyNumberFormat="1" applyFont="1" applyFill="1" applyBorder="1"/>
    <xf numFmtId="2" fontId="7" fillId="23" borderId="21" xfId="0" applyNumberFormat="1" applyFont="1" applyFill="1" applyBorder="1" applyAlignment="1">
      <alignment horizontal="right"/>
    </xf>
    <xf numFmtId="168" fontId="8" fillId="19" borderId="33" xfId="0" applyNumberFormat="1" applyFont="1" applyFill="1" applyBorder="1" applyAlignment="1">
      <alignment horizontal="center"/>
    </xf>
    <xf numFmtId="168" fontId="8" fillId="19" borderId="38" xfId="0" applyNumberFormat="1" applyFont="1" applyFill="1" applyBorder="1" applyAlignment="1">
      <alignment horizontal="center"/>
    </xf>
    <xf numFmtId="4" fontId="8" fillId="19" borderId="33" xfId="0" applyNumberFormat="1" applyFont="1" applyFill="1" applyBorder="1" applyAlignment="1">
      <alignment horizontal="center"/>
    </xf>
    <xf numFmtId="169" fontId="8" fillId="19" borderId="38" xfId="0" applyNumberFormat="1" applyFont="1" applyFill="1" applyBorder="1"/>
    <xf numFmtId="2" fontId="9" fillId="23" borderId="24" xfId="0" applyNumberFormat="1" applyFont="1" applyFill="1" applyBorder="1" applyAlignment="1">
      <alignment horizontal="right"/>
    </xf>
    <xf numFmtId="2" fontId="15" fillId="19" borderId="38" xfId="0" applyNumberFormat="1" applyFont="1" applyFill="1" applyBorder="1" applyAlignment="1">
      <alignment horizontal="center"/>
    </xf>
    <xf numFmtId="10" fontId="0" fillId="19" borderId="0" xfId="0" applyNumberFormat="1" applyFill="1" applyAlignment="1">
      <alignment horizontal="center"/>
    </xf>
    <xf numFmtId="9" fontId="0" fillId="19" borderId="38" xfId="0" applyNumberFormat="1" applyFill="1" applyBorder="1" applyAlignment="1">
      <alignment horizontal="center"/>
    </xf>
    <xf numFmtId="2" fontId="8" fillId="5" borderId="0" xfId="0" applyNumberFormat="1" applyFont="1" applyFill="1" applyAlignment="1">
      <alignment horizontal="center"/>
    </xf>
    <xf numFmtId="10" fontId="7" fillId="5" borderId="0" xfId="0" applyNumberFormat="1" applyFont="1" applyFill="1" applyAlignment="1">
      <alignment horizontal="center"/>
    </xf>
    <xf numFmtId="2" fontId="7" fillId="5" borderId="0" xfId="0" applyNumberFormat="1" applyFont="1" applyFill="1" applyAlignment="1">
      <alignment horizontal="right"/>
    </xf>
    <xf numFmtId="4" fontId="8" fillId="5" borderId="0" xfId="0" applyNumberFormat="1" applyFont="1" applyFill="1" applyAlignment="1">
      <alignment horizontal="center"/>
    </xf>
    <xf numFmtId="2" fontId="7" fillId="8" borderId="21" xfId="0" applyNumberFormat="1" applyFont="1" applyFill="1" applyBorder="1"/>
    <xf numFmtId="2" fontId="8" fillId="8" borderId="15" xfId="0" applyNumberFormat="1" applyFont="1" applyFill="1" applyBorder="1"/>
    <xf numFmtId="2" fontId="8" fillId="8" borderId="18" xfId="0" applyNumberFormat="1" applyFont="1" applyFill="1" applyBorder="1"/>
    <xf numFmtId="2" fontId="7" fillId="8" borderId="18" xfId="0" applyNumberFormat="1" applyFont="1" applyFill="1" applyBorder="1"/>
    <xf numFmtId="2" fontId="10" fillId="8" borderId="18" xfId="0" applyNumberFormat="1" applyFont="1" applyFill="1" applyBorder="1"/>
    <xf numFmtId="2" fontId="0" fillId="8" borderId="0" xfId="0" applyNumberFormat="1" applyFill="1" applyAlignment="1">
      <alignment horizontal="center"/>
    </xf>
    <xf numFmtId="170" fontId="17" fillId="19" borderId="0" xfId="1" applyNumberFormat="1" applyFont="1" applyFill="1" applyBorder="1" applyAlignment="1" applyProtection="1">
      <alignment horizontal="right"/>
    </xf>
    <xf numFmtId="2" fontId="0" fillId="8" borderId="17" xfId="0" quotePrefix="1" applyNumberFormat="1" applyFill="1" applyBorder="1"/>
    <xf numFmtId="2" fontId="0" fillId="19" borderId="0" xfId="0" applyNumberFormat="1" applyFill="1"/>
    <xf numFmtId="2" fontId="0" fillId="8" borderId="0" xfId="0" applyNumberFormat="1" applyFill="1" applyAlignment="1">
      <alignment horizontal="left"/>
    </xf>
    <xf numFmtId="2" fontId="8" fillId="8" borderId="18" xfId="0" applyNumberFormat="1" applyFont="1" applyFill="1" applyBorder="1" applyAlignment="1">
      <alignment horizontal="right"/>
    </xf>
    <xf numFmtId="10" fontId="7" fillId="19" borderId="0" xfId="0" applyNumberFormat="1" applyFont="1" applyFill="1" applyAlignment="1">
      <alignment horizontal="center"/>
    </xf>
    <xf numFmtId="37" fontId="7" fillId="19" borderId="0" xfId="1" applyNumberFormat="1" applyFont="1" applyFill="1" applyBorder="1" applyAlignment="1" applyProtection="1">
      <alignment horizontal="center"/>
    </xf>
    <xf numFmtId="2" fontId="7" fillId="19" borderId="17" xfId="0" applyNumberFormat="1" applyFont="1" applyFill="1" applyBorder="1" applyAlignment="1">
      <alignment horizontal="center"/>
    </xf>
    <xf numFmtId="2" fontId="8" fillId="8" borderId="19" xfId="0" applyNumberFormat="1" applyFont="1" applyFill="1" applyBorder="1" applyAlignment="1">
      <alignment horizontal="right"/>
    </xf>
    <xf numFmtId="10" fontId="7" fillId="19" borderId="20" xfId="0" applyNumberFormat="1" applyFont="1" applyFill="1" applyBorder="1" applyAlignment="1">
      <alignment horizontal="center"/>
    </xf>
    <xf numFmtId="2" fontId="0" fillId="8" borderId="20" xfId="0" applyNumberFormat="1" applyFill="1" applyBorder="1" applyAlignment="1">
      <alignment horizontal="left"/>
    </xf>
    <xf numFmtId="9" fontId="7" fillId="19" borderId="25" xfId="0" applyNumberFormat="1" applyFont="1" applyFill="1" applyBorder="1" applyAlignment="1">
      <alignment horizontal="center"/>
    </xf>
    <xf numFmtId="2" fontId="8" fillId="18" borderId="21" xfId="0" quotePrefix="1" applyNumberFormat="1" applyFont="1" applyFill="1" applyBorder="1"/>
    <xf numFmtId="2" fontId="0" fillId="18" borderId="15" xfId="0" applyNumberFormat="1" applyFill="1" applyBorder="1"/>
    <xf numFmtId="2" fontId="16" fillId="18" borderId="15" xfId="0" applyNumberFormat="1" applyFont="1" applyFill="1" applyBorder="1"/>
    <xf numFmtId="2" fontId="0" fillId="18" borderId="16" xfId="0" applyNumberFormat="1" applyFill="1" applyBorder="1"/>
    <xf numFmtId="2" fontId="0" fillId="18" borderId="0" xfId="0" quotePrefix="1" applyNumberFormat="1" applyFill="1"/>
    <xf numFmtId="2" fontId="53" fillId="18" borderId="0" xfId="0" applyNumberFormat="1" applyFont="1" applyFill="1"/>
    <xf numFmtId="2" fontId="8" fillId="18" borderId="21" xfId="0" applyNumberFormat="1" applyFont="1" applyFill="1" applyBorder="1" applyAlignment="1">
      <alignment horizontal="right"/>
    </xf>
    <xf numFmtId="2" fontId="15" fillId="18" borderId="15" xfId="0" applyNumberFormat="1" applyFont="1" applyFill="1" applyBorder="1" applyAlignment="1">
      <alignment horizontal="left"/>
    </xf>
    <xf numFmtId="2" fontId="15" fillId="18" borderId="0" xfId="0" quotePrefix="1" applyNumberFormat="1" applyFont="1" applyFill="1" applyAlignment="1">
      <alignment horizontal="center"/>
    </xf>
    <xf numFmtId="2" fontId="15" fillId="18" borderId="20" xfId="0" quotePrefix="1" applyNumberFormat="1" applyFont="1" applyFill="1" applyBorder="1" applyAlignment="1">
      <alignment horizontal="center"/>
    </xf>
    <xf numFmtId="2" fontId="0" fillId="18" borderId="20" xfId="0" applyNumberFormat="1" applyFill="1" applyBorder="1" applyAlignment="1">
      <alignment horizontal="right"/>
    </xf>
    <xf numFmtId="10" fontId="8" fillId="19" borderId="17" xfId="0" applyNumberFormat="1" applyFont="1" applyFill="1" applyBorder="1" applyAlignment="1">
      <alignment horizontal="center"/>
    </xf>
    <xf numFmtId="10" fontId="8" fillId="19" borderId="25" xfId="0" applyNumberFormat="1" applyFont="1" applyFill="1" applyBorder="1" applyAlignment="1">
      <alignment horizontal="center"/>
    </xf>
    <xf numFmtId="2" fontId="15" fillId="28" borderId="40" xfId="0" applyNumberFormat="1" applyFont="1" applyFill="1" applyBorder="1"/>
    <xf numFmtId="2" fontId="0" fillId="28" borderId="39" xfId="0" applyNumberFormat="1" applyFill="1" applyBorder="1"/>
    <xf numFmtId="2" fontId="10" fillId="28" borderId="18" xfId="0" applyNumberFormat="1" applyFont="1" applyFill="1" applyBorder="1" applyAlignment="1">
      <alignment horizontal="right"/>
    </xf>
    <xf numFmtId="2" fontId="0" fillId="28" borderId="19" xfId="0" applyNumberFormat="1" applyFill="1" applyBorder="1"/>
    <xf numFmtId="2" fontId="0" fillId="28" borderId="25" xfId="0" applyNumberFormat="1" applyFill="1" applyBorder="1"/>
    <xf numFmtId="2" fontId="36" fillId="8" borderId="17" xfId="0" applyNumberFormat="1" applyFont="1" applyFill="1" applyBorder="1" applyAlignment="1">
      <alignment horizontal="center"/>
    </xf>
    <xf numFmtId="1" fontId="0" fillId="6" borderId="0" xfId="0" applyNumberFormat="1" applyFill="1"/>
    <xf numFmtId="2" fontId="6" fillId="29" borderId="44" xfId="0" applyNumberFormat="1" applyFont="1" applyFill="1" applyBorder="1" applyAlignment="1">
      <alignment horizontal="center"/>
    </xf>
    <xf numFmtId="2" fontId="9" fillId="23" borderId="40" xfId="0" applyNumberFormat="1" applyFont="1" applyFill="1" applyBorder="1"/>
    <xf numFmtId="2" fontId="0" fillId="23" borderId="45" xfId="0" applyNumberFormat="1" applyFill="1" applyBorder="1"/>
    <xf numFmtId="2" fontId="0" fillId="23" borderId="41" xfId="0" applyNumberFormat="1" applyFill="1" applyBorder="1"/>
    <xf numFmtId="2" fontId="11" fillId="23" borderId="0" xfId="0" applyNumberFormat="1" applyFont="1" applyFill="1" applyAlignment="1">
      <alignment horizontal="right"/>
    </xf>
    <xf numFmtId="2" fontId="0" fillId="23" borderId="0" xfId="0" applyNumberFormat="1" applyFill="1" applyAlignment="1">
      <alignment horizontal="right"/>
    </xf>
    <xf numFmtId="2" fontId="16" fillId="23" borderId="0" xfId="0" applyNumberFormat="1" applyFont="1" applyFill="1" applyAlignment="1">
      <alignment horizontal="right"/>
    </xf>
    <xf numFmtId="2" fontId="10" fillId="23" borderId="0" xfId="0" applyNumberFormat="1" applyFont="1" applyFill="1" applyAlignment="1">
      <alignment horizontal="right"/>
    </xf>
    <xf numFmtId="166" fontId="18" fillId="23" borderId="0" xfId="0" applyNumberFormat="1" applyFont="1" applyFill="1" applyAlignment="1">
      <alignment horizontal="center"/>
    </xf>
    <xf numFmtId="2" fontId="4" fillId="23" borderId="18" xfId="0" applyNumberFormat="1" applyFont="1" applyFill="1" applyBorder="1"/>
    <xf numFmtId="2" fontId="8" fillId="23" borderId="18" xfId="0" applyNumberFormat="1" applyFont="1" applyFill="1" applyBorder="1"/>
    <xf numFmtId="2" fontId="0" fillId="30" borderId="0" xfId="0" applyNumberFormat="1" applyFill="1"/>
    <xf numFmtId="2" fontId="0" fillId="30" borderId="0" xfId="0" applyNumberFormat="1" applyFill="1" applyAlignment="1">
      <alignment horizontal="center"/>
    </xf>
    <xf numFmtId="2" fontId="0" fillId="30" borderId="0" xfId="0" applyNumberFormat="1" applyFill="1" applyAlignment="1">
      <alignment horizontal="right"/>
    </xf>
    <xf numFmtId="4" fontId="0" fillId="30" borderId="0" xfId="0" applyNumberFormat="1" applyFill="1" applyAlignment="1">
      <alignment horizontal="center"/>
    </xf>
    <xf numFmtId="2" fontId="16" fillId="31" borderId="0" xfId="0" applyNumberFormat="1" applyFont="1" applyFill="1"/>
    <xf numFmtId="2" fontId="11" fillId="31" borderId="0" xfId="0" applyNumberFormat="1" applyFont="1" applyFill="1"/>
    <xf numFmtId="2" fontId="10" fillId="31" borderId="0" xfId="0" applyNumberFormat="1" applyFont="1" applyFill="1"/>
    <xf numFmtId="2" fontId="55" fillId="16" borderId="0" xfId="0" applyNumberFormat="1" applyFont="1" applyFill="1" applyAlignment="1">
      <alignment horizontal="right"/>
    </xf>
    <xf numFmtId="2" fontId="5" fillId="32" borderId="0" xfId="0" applyNumberFormat="1" applyFont="1" applyFill="1" applyAlignment="1">
      <alignment horizontal="center"/>
    </xf>
    <xf numFmtId="2" fontId="6" fillId="32" borderId="0" xfId="0" applyNumberFormat="1" applyFont="1" applyFill="1"/>
    <xf numFmtId="2" fontId="5" fillId="32" borderId="20" xfId="0" applyNumberFormat="1" applyFont="1" applyFill="1" applyBorder="1" applyAlignment="1">
      <alignment horizontal="center"/>
    </xf>
    <xf numFmtId="10" fontId="6" fillId="32" borderId="0" xfId="0" applyNumberFormat="1" applyFont="1" applyFill="1" applyAlignment="1">
      <alignment horizontal="center"/>
    </xf>
    <xf numFmtId="10" fontId="6" fillId="32" borderId="20" xfId="0" applyNumberFormat="1" applyFont="1" applyFill="1" applyBorder="1" applyAlignment="1">
      <alignment horizontal="center"/>
    </xf>
    <xf numFmtId="37" fontId="6" fillId="32" borderId="0" xfId="1" applyNumberFormat="1" applyFont="1" applyFill="1" applyBorder="1" applyAlignment="1" applyProtection="1">
      <alignment horizontal="center"/>
    </xf>
    <xf numFmtId="170" fontId="6" fillId="32" borderId="0" xfId="1" applyNumberFormat="1" applyFont="1" applyFill="1" applyBorder="1" applyAlignment="1" applyProtection="1">
      <alignment horizontal="right"/>
    </xf>
    <xf numFmtId="2" fontId="6" fillId="32" borderId="22" xfId="0" applyNumberFormat="1" applyFont="1" applyFill="1" applyBorder="1" applyAlignment="1">
      <alignment horizontal="center"/>
    </xf>
    <xf numFmtId="3" fontId="6" fillId="32" borderId="23" xfId="0" applyNumberFormat="1" applyFont="1" applyFill="1" applyBorder="1" applyAlignment="1">
      <alignment horizontal="center"/>
    </xf>
    <xf numFmtId="2" fontId="6" fillId="32" borderId="23" xfId="0" applyNumberFormat="1" applyFont="1" applyFill="1" applyBorder="1" applyAlignment="1">
      <alignment horizontal="center"/>
    </xf>
    <xf numFmtId="9" fontId="6" fillId="32" borderId="38" xfId="0" applyNumberFormat="1" applyFont="1" applyFill="1" applyBorder="1" applyAlignment="1">
      <alignment horizontal="center"/>
    </xf>
    <xf numFmtId="9" fontId="6" fillId="32" borderId="0" xfId="0" applyNumberFormat="1" applyFont="1" applyFill="1" applyAlignment="1">
      <alignment horizontal="center"/>
    </xf>
    <xf numFmtId="2" fontId="0" fillId="23" borderId="19" xfId="0" applyNumberFormat="1" applyFill="1" applyBorder="1"/>
    <xf numFmtId="9" fontId="6" fillId="32" borderId="20" xfId="0" applyNumberFormat="1" applyFont="1" applyFill="1" applyBorder="1" applyAlignment="1">
      <alignment horizontal="center"/>
    </xf>
    <xf numFmtId="2" fontId="0" fillId="23" borderId="20" xfId="0" applyNumberFormat="1" applyFill="1" applyBorder="1" applyAlignment="1">
      <alignment horizontal="left"/>
    </xf>
    <xf numFmtId="10" fontId="6" fillId="4" borderId="41" xfId="0" applyNumberFormat="1" applyFont="1" applyFill="1" applyBorder="1" applyAlignment="1">
      <alignment horizontal="center"/>
    </xf>
    <xf numFmtId="2" fontId="6" fillId="4" borderId="0" xfId="0" applyNumberFormat="1" applyFont="1" applyFill="1" applyAlignment="1">
      <alignment horizontal="right"/>
    </xf>
    <xf numFmtId="9" fontId="6" fillId="33" borderId="20" xfId="0" applyNumberFormat="1" applyFont="1" applyFill="1" applyBorder="1" applyAlignment="1">
      <alignment horizontal="center"/>
    </xf>
    <xf numFmtId="2" fontId="6" fillId="4" borderId="17" xfId="0" applyNumberFormat="1" applyFont="1" applyFill="1" applyBorder="1" applyAlignment="1">
      <alignment horizontal="center"/>
    </xf>
    <xf numFmtId="9" fontId="6" fillId="4" borderId="25" xfId="0" applyNumberFormat="1" applyFont="1" applyFill="1" applyBorder="1" applyAlignment="1">
      <alignment horizontal="center"/>
    </xf>
    <xf numFmtId="2" fontId="5" fillId="4" borderId="0" xfId="0" applyNumberFormat="1" applyFont="1" applyFill="1" applyAlignment="1">
      <alignment horizontal="center"/>
    </xf>
    <xf numFmtId="10" fontId="6" fillId="4" borderId="0" xfId="0" applyNumberFormat="1" applyFont="1" applyFill="1" applyAlignment="1">
      <alignment horizontal="center"/>
    </xf>
    <xf numFmtId="4" fontId="5" fillId="4" borderId="0" xfId="0" applyNumberFormat="1" applyFont="1" applyFill="1" applyAlignment="1">
      <alignment horizontal="center"/>
    </xf>
    <xf numFmtId="10" fontId="5" fillId="4" borderId="6" xfId="0" applyNumberFormat="1" applyFont="1" applyFill="1" applyBorder="1" applyAlignment="1">
      <alignment horizontal="center"/>
    </xf>
    <xf numFmtId="3" fontId="6" fillId="4" borderId="20" xfId="0" applyNumberFormat="1" applyFont="1" applyFill="1" applyBorder="1" applyAlignment="1">
      <alignment horizontal="center"/>
    </xf>
    <xf numFmtId="165" fontId="5" fillId="4" borderId="0" xfId="0" applyNumberFormat="1" applyFont="1" applyFill="1" applyAlignment="1">
      <alignment horizontal="center"/>
    </xf>
    <xf numFmtId="10" fontId="5" fillId="32" borderId="17" xfId="0" applyNumberFormat="1" applyFont="1" applyFill="1" applyBorder="1" applyAlignment="1">
      <alignment horizontal="center"/>
    </xf>
    <xf numFmtId="10" fontId="5" fillId="32" borderId="25" xfId="0" applyNumberFormat="1" applyFont="1" applyFill="1" applyBorder="1" applyAlignment="1">
      <alignment horizontal="center"/>
    </xf>
    <xf numFmtId="2" fontId="5" fillId="32" borderId="33" xfId="0" applyNumberFormat="1" applyFont="1" applyFill="1" applyBorder="1" applyAlignment="1">
      <alignment horizontal="center"/>
    </xf>
    <xf numFmtId="167" fontId="5" fillId="32" borderId="6" xfId="0" applyNumberFormat="1" applyFont="1" applyFill="1" applyBorder="1"/>
    <xf numFmtId="168" fontId="5" fillId="32" borderId="13" xfId="0" applyNumberFormat="1" applyFont="1" applyFill="1" applyBorder="1"/>
    <xf numFmtId="168" fontId="5" fillId="32" borderId="31" xfId="0" applyNumberFormat="1" applyFont="1" applyFill="1" applyBorder="1"/>
    <xf numFmtId="167" fontId="5" fillId="32" borderId="13" xfId="0" applyNumberFormat="1" applyFont="1" applyFill="1" applyBorder="1"/>
    <xf numFmtId="167" fontId="5" fillId="32" borderId="34" xfId="0" applyNumberFormat="1" applyFont="1" applyFill="1" applyBorder="1"/>
    <xf numFmtId="167" fontId="5" fillId="32" borderId="35" xfId="0" applyNumberFormat="1" applyFont="1" applyFill="1" applyBorder="1" applyAlignment="1">
      <alignment horizontal="center"/>
    </xf>
    <xf numFmtId="167" fontId="5" fillId="32" borderId="36" xfId="0" applyNumberFormat="1" applyFont="1" applyFill="1" applyBorder="1" applyAlignment="1">
      <alignment horizontal="center"/>
    </xf>
    <xf numFmtId="165" fontId="5" fillId="32" borderId="33" xfId="0" applyNumberFormat="1" applyFont="1" applyFill="1" applyBorder="1" applyAlignment="1">
      <alignment horizontal="center"/>
    </xf>
    <xf numFmtId="167" fontId="5" fillId="32" borderId="22" xfId="0" applyNumberFormat="1" applyFont="1" applyFill="1" applyBorder="1"/>
    <xf numFmtId="167" fontId="5" fillId="32" borderId="38" xfId="0" applyNumberFormat="1" applyFont="1" applyFill="1" applyBorder="1"/>
    <xf numFmtId="167" fontId="5" fillId="32" borderId="26" xfId="0" applyNumberFormat="1" applyFont="1" applyFill="1" applyBorder="1" applyAlignment="1">
      <alignment horizontal="center"/>
    </xf>
    <xf numFmtId="167" fontId="5" fillId="32" borderId="37" xfId="0" applyNumberFormat="1" applyFont="1" applyFill="1" applyBorder="1" applyAlignment="1">
      <alignment horizontal="center"/>
    </xf>
    <xf numFmtId="169" fontId="5" fillId="32" borderId="33" xfId="0" applyNumberFormat="1" applyFont="1" applyFill="1" applyBorder="1"/>
    <xf numFmtId="2" fontId="5" fillId="32" borderId="38" xfId="0" applyNumberFormat="1" applyFont="1" applyFill="1" applyBorder="1" applyAlignment="1">
      <alignment horizontal="center"/>
    </xf>
    <xf numFmtId="168" fontId="5" fillId="32" borderId="33" xfId="0" applyNumberFormat="1" applyFont="1" applyFill="1" applyBorder="1" applyAlignment="1">
      <alignment horizontal="center"/>
    </xf>
    <xf numFmtId="168" fontId="5" fillId="32" borderId="38" xfId="0" applyNumberFormat="1" applyFont="1" applyFill="1" applyBorder="1" applyAlignment="1">
      <alignment horizontal="center"/>
    </xf>
    <xf numFmtId="4" fontId="6" fillId="32" borderId="33" xfId="0" applyNumberFormat="1" applyFont="1" applyFill="1" applyBorder="1" applyAlignment="1">
      <alignment horizontal="center"/>
    </xf>
    <xf numFmtId="2" fontId="15" fillId="6" borderId="0" xfId="0" applyNumberFormat="1" applyFont="1" applyFill="1"/>
    <xf numFmtId="2" fontId="56" fillId="24" borderId="0" xfId="0" applyNumberFormat="1" applyFont="1" applyFill="1"/>
    <xf numFmtId="2" fontId="8" fillId="16" borderId="15" xfId="0" applyNumberFormat="1" applyFont="1" applyFill="1" applyBorder="1"/>
    <xf numFmtId="2" fontId="0" fillId="16" borderId="15" xfId="0" applyNumberFormat="1" applyFill="1" applyBorder="1"/>
    <xf numFmtId="2" fontId="0" fillId="16" borderId="16" xfId="0" applyNumberFormat="1" applyFill="1" applyBorder="1"/>
    <xf numFmtId="2" fontId="0" fillId="16" borderId="0" xfId="0" applyNumberFormat="1" applyFill="1" applyAlignment="1">
      <alignment horizontal="center"/>
    </xf>
    <xf numFmtId="2" fontId="0" fillId="16" borderId="0" xfId="0" applyNumberFormat="1" applyFill="1" applyAlignment="1">
      <alignment horizontal="right"/>
    </xf>
    <xf numFmtId="2" fontId="0" fillId="16" borderId="20" xfId="0" applyNumberFormat="1" applyFill="1" applyBorder="1"/>
    <xf numFmtId="2" fontId="0" fillId="16" borderId="20" xfId="0" applyNumberFormat="1" applyFill="1" applyBorder="1" applyAlignment="1">
      <alignment horizontal="left"/>
    </xf>
    <xf numFmtId="2" fontId="0" fillId="16" borderId="17" xfId="0" applyNumberFormat="1" applyFill="1" applyBorder="1"/>
    <xf numFmtId="2" fontId="16" fillId="16" borderId="0" xfId="0" applyNumberFormat="1" applyFont="1" applyFill="1" applyAlignment="1">
      <alignment horizontal="right"/>
    </xf>
    <xf numFmtId="2" fontId="11" fillId="16" borderId="20" xfId="0" applyNumberFormat="1" applyFont="1" applyFill="1" applyBorder="1" applyAlignment="1">
      <alignment horizontal="right"/>
    </xf>
    <xf numFmtId="2" fontId="7" fillId="16" borderId="18" xfId="0" applyNumberFormat="1" applyFont="1" applyFill="1" applyBorder="1"/>
    <xf numFmtId="2" fontId="8" fillId="16" borderId="18" xfId="0" applyNumberFormat="1" applyFont="1" applyFill="1" applyBorder="1" applyAlignment="1">
      <alignment horizontal="right"/>
    </xf>
    <xf numFmtId="2" fontId="8" fillId="16" borderId="19" xfId="0" applyNumberFormat="1" applyFont="1" applyFill="1" applyBorder="1" applyAlignment="1">
      <alignment horizontal="right"/>
    </xf>
    <xf numFmtId="2" fontId="10" fillId="16" borderId="18" xfId="0" applyNumberFormat="1" applyFont="1" applyFill="1" applyBorder="1"/>
    <xf numFmtId="2" fontId="0" fillId="16" borderId="18" xfId="0" applyNumberFormat="1" applyFill="1" applyBorder="1"/>
    <xf numFmtId="2" fontId="8" fillId="16" borderId="18" xfId="0" applyNumberFormat="1" applyFont="1" applyFill="1" applyBorder="1"/>
    <xf numFmtId="2" fontId="9" fillId="16" borderId="40" xfId="0" applyNumberFormat="1" applyFont="1" applyFill="1" applyBorder="1"/>
    <xf numFmtId="2" fontId="11" fillId="16" borderId="18" xfId="0" applyNumberFormat="1" applyFont="1" applyFill="1" applyBorder="1"/>
    <xf numFmtId="2" fontId="4" fillId="16" borderId="18" xfId="0" applyNumberFormat="1" applyFont="1" applyFill="1" applyBorder="1"/>
    <xf numFmtId="2" fontId="0" fillId="16" borderId="19" xfId="0" applyNumberFormat="1" applyFill="1" applyBorder="1"/>
    <xf numFmtId="166" fontId="0" fillId="16" borderId="0" xfId="0" applyNumberFormat="1" applyFill="1"/>
    <xf numFmtId="2" fontId="0" fillId="16" borderId="45" xfId="0" applyNumberFormat="1" applyFill="1" applyBorder="1"/>
    <xf numFmtId="2" fontId="11" fillId="16" borderId="0" xfId="0" applyNumberFormat="1" applyFont="1" applyFill="1" applyAlignment="1">
      <alignment horizontal="right"/>
    </xf>
    <xf numFmtId="2" fontId="10" fillId="16" borderId="0" xfId="0" applyNumberFormat="1" applyFont="1" applyFill="1" applyAlignment="1">
      <alignment horizontal="right"/>
    </xf>
    <xf numFmtId="2" fontId="8" fillId="16" borderId="0" xfId="0" applyNumberFormat="1" applyFont="1" applyFill="1" applyAlignment="1">
      <alignment horizontal="right"/>
    </xf>
    <xf numFmtId="2" fontId="0" fillId="16" borderId="41" xfId="0" applyNumberFormat="1" applyFill="1" applyBorder="1"/>
    <xf numFmtId="2" fontId="7" fillId="16" borderId="15" xfId="0" applyNumberFormat="1" applyFont="1" applyFill="1" applyBorder="1"/>
    <xf numFmtId="2" fontId="7" fillId="16" borderId="0" xfId="0" applyNumberFormat="1" applyFont="1" applyFill="1" applyAlignment="1">
      <alignment horizontal="right"/>
    </xf>
    <xf numFmtId="2" fontId="7" fillId="16" borderId="20" xfId="0" applyNumberFormat="1" applyFont="1" applyFill="1" applyBorder="1" applyAlignment="1">
      <alignment horizontal="left"/>
    </xf>
    <xf numFmtId="2" fontId="9" fillId="34" borderId="40" xfId="0" applyNumberFormat="1" applyFont="1" applyFill="1" applyBorder="1"/>
    <xf numFmtId="2" fontId="0" fillId="34" borderId="41" xfId="0" applyNumberFormat="1" applyFill="1" applyBorder="1"/>
    <xf numFmtId="2" fontId="0" fillId="35" borderId="18" xfId="0" applyNumberFormat="1" applyFill="1" applyBorder="1" applyAlignment="1">
      <alignment horizontal="right"/>
    </xf>
    <xf numFmtId="2" fontId="0" fillId="35" borderId="0" xfId="0" applyNumberFormat="1" applyFill="1"/>
    <xf numFmtId="2" fontId="0" fillId="34" borderId="39" xfId="0" applyNumberFormat="1" applyFill="1" applyBorder="1"/>
    <xf numFmtId="2" fontId="0" fillId="35" borderId="17" xfId="0" applyNumberFormat="1" applyFill="1" applyBorder="1"/>
    <xf numFmtId="2" fontId="0" fillId="35" borderId="0" xfId="0" applyNumberFormat="1" applyFill="1" applyAlignment="1">
      <alignment horizontal="center"/>
    </xf>
    <xf numFmtId="2" fontId="0" fillId="35" borderId="0" xfId="0" applyNumberFormat="1" applyFill="1" applyAlignment="1">
      <alignment horizontal="right"/>
    </xf>
    <xf numFmtId="2" fontId="0" fillId="35" borderId="20" xfId="0" applyNumberFormat="1" applyFill="1" applyBorder="1"/>
    <xf numFmtId="2" fontId="16" fillId="34" borderId="0" xfId="0" applyNumberFormat="1" applyFont="1" applyFill="1"/>
    <xf numFmtId="2" fontId="11" fillId="34" borderId="0" xfId="0" applyNumberFormat="1" applyFont="1" applyFill="1"/>
    <xf numFmtId="2" fontId="10" fillId="34" borderId="0" xfId="0" applyNumberFormat="1" applyFont="1" applyFill="1"/>
    <xf numFmtId="2" fontId="7" fillId="35" borderId="20" xfId="0" applyNumberFormat="1" applyFont="1" applyFill="1" applyBorder="1"/>
    <xf numFmtId="4" fontId="0" fillId="35" borderId="0" xfId="0" applyNumberFormat="1" applyFill="1" applyAlignment="1">
      <alignment horizontal="center"/>
    </xf>
    <xf numFmtId="2" fontId="0" fillId="35" borderId="19" xfId="0" applyNumberFormat="1" applyFill="1" applyBorder="1" applyAlignment="1">
      <alignment horizontal="right"/>
    </xf>
    <xf numFmtId="2" fontId="15" fillId="16" borderId="40" xfId="0" applyNumberFormat="1" applyFont="1" applyFill="1" applyBorder="1"/>
    <xf numFmtId="2" fontId="0" fillId="16" borderId="39" xfId="0" applyNumberFormat="1" applyFill="1" applyBorder="1"/>
    <xf numFmtId="2" fontId="10" fillId="16" borderId="18" xfId="0" applyNumberFormat="1" applyFont="1" applyFill="1" applyBorder="1" applyAlignment="1">
      <alignment horizontal="right"/>
    </xf>
    <xf numFmtId="2" fontId="0" fillId="16" borderId="25" xfId="0" applyNumberFormat="1" applyFill="1" applyBorder="1"/>
    <xf numFmtId="10" fontId="6" fillId="32" borderId="17" xfId="0" applyNumberFormat="1" applyFont="1" applyFill="1" applyBorder="1" applyAlignment="1">
      <alignment horizontal="center"/>
    </xf>
    <xf numFmtId="2" fontId="8" fillId="36" borderId="42" xfId="0" applyNumberFormat="1" applyFont="1" applyFill="1" applyBorder="1"/>
    <xf numFmtId="2" fontId="7" fillId="36" borderId="39" xfId="0" applyNumberFormat="1" applyFont="1" applyFill="1" applyBorder="1"/>
    <xf numFmtId="2" fontId="8" fillId="36" borderId="13" xfId="0" applyNumberFormat="1" applyFont="1" applyFill="1" applyBorder="1" applyAlignment="1">
      <alignment horizontal="center"/>
    </xf>
    <xf numFmtId="2" fontId="53" fillId="36" borderId="17" xfId="0" applyNumberFormat="1" applyFont="1" applyFill="1" applyBorder="1" applyAlignment="1">
      <alignment horizontal="center"/>
    </xf>
    <xf numFmtId="9" fontId="7" fillId="37" borderId="14" xfId="0" applyNumberFormat="1" applyFont="1" applyFill="1" applyBorder="1" applyAlignment="1">
      <alignment horizontal="center"/>
    </xf>
    <xf numFmtId="9" fontId="7" fillId="37" borderId="34" xfId="0" applyNumberFormat="1" applyFont="1" applyFill="1" applyBorder="1" applyAlignment="1">
      <alignment horizontal="center"/>
    </xf>
    <xf numFmtId="2" fontId="7" fillId="36" borderId="0" xfId="0" applyNumberFormat="1" applyFont="1" applyFill="1"/>
    <xf numFmtId="2" fontId="9" fillId="36" borderId="40" xfId="0" applyNumberFormat="1" applyFont="1" applyFill="1" applyBorder="1"/>
    <xf numFmtId="2" fontId="7" fillId="36" borderId="41" xfId="0" applyNumberFormat="1" applyFont="1" applyFill="1" applyBorder="1"/>
    <xf numFmtId="2" fontId="7" fillId="36" borderId="0" xfId="0" applyNumberFormat="1" applyFont="1" applyFill="1" applyAlignment="1">
      <alignment horizontal="right"/>
    </xf>
    <xf numFmtId="2" fontId="8" fillId="36" borderId="18" xfId="0" applyNumberFormat="1" applyFont="1" applyFill="1" applyBorder="1" applyAlignment="1">
      <alignment horizontal="left"/>
    </xf>
    <xf numFmtId="2" fontId="8" fillId="36" borderId="18" xfId="0" applyNumberFormat="1" applyFont="1" applyFill="1" applyBorder="1" applyAlignment="1">
      <alignment horizontal="right"/>
    </xf>
    <xf numFmtId="2" fontId="8" fillId="36" borderId="18" xfId="0" applyNumberFormat="1" applyFont="1" applyFill="1" applyBorder="1"/>
    <xf numFmtId="2" fontId="7" fillId="36" borderId="19" xfId="0" applyNumberFormat="1" applyFont="1" applyFill="1" applyBorder="1"/>
    <xf numFmtId="2" fontId="7" fillId="36" borderId="20" xfId="0" applyNumberFormat="1" applyFont="1" applyFill="1" applyBorder="1"/>
    <xf numFmtId="2" fontId="0" fillId="16" borderId="26" xfId="0" applyNumberFormat="1" applyFill="1" applyBorder="1"/>
    <xf numFmtId="2" fontId="0" fillId="16" borderId="27" xfId="0" applyNumberFormat="1" applyFill="1" applyBorder="1"/>
    <xf numFmtId="2" fontId="15" fillId="16" borderId="27" xfId="0" applyNumberFormat="1" applyFont="1" applyFill="1" applyBorder="1" applyAlignment="1">
      <alignment horizontal="center"/>
    </xf>
    <xf numFmtId="2" fontId="9" fillId="16" borderId="24" xfId="0" applyNumberFormat="1" applyFont="1" applyFill="1" applyBorder="1"/>
    <xf numFmtId="2" fontId="0" fillId="16" borderId="9" xfId="0" applyNumberFormat="1" applyFill="1" applyBorder="1"/>
    <xf numFmtId="2" fontId="9" fillId="16" borderId="24" xfId="0" applyNumberFormat="1" applyFont="1" applyFill="1" applyBorder="1" applyAlignment="1">
      <alignment horizontal="right"/>
    </xf>
    <xf numFmtId="2" fontId="0" fillId="16" borderId="21" xfId="0" applyNumberFormat="1" applyFill="1" applyBorder="1" applyAlignment="1">
      <alignment horizontal="right"/>
    </xf>
    <xf numFmtId="2" fontId="0" fillId="16" borderId="18" xfId="0" quotePrefix="1" applyNumberFormat="1" applyFill="1" applyBorder="1"/>
    <xf numFmtId="2" fontId="15" fillId="16" borderId="0" xfId="0" applyNumberFormat="1" applyFont="1" applyFill="1"/>
    <xf numFmtId="2" fontId="0" fillId="16" borderId="18" xfId="0" applyNumberFormat="1" applyFill="1" applyBorder="1" applyAlignment="1">
      <alignment horizontal="right"/>
    </xf>
    <xf numFmtId="2" fontId="0" fillId="16" borderId="28" xfId="0" applyNumberFormat="1" applyFill="1" applyBorder="1"/>
    <xf numFmtId="2" fontId="0" fillId="16" borderId="19" xfId="0" applyNumberFormat="1" applyFill="1" applyBorder="1" applyAlignment="1">
      <alignment horizontal="right"/>
    </xf>
    <xf numFmtId="2" fontId="8" fillId="16" borderId="18" xfId="0" applyNumberFormat="1" applyFont="1" applyFill="1" applyBorder="1" applyAlignment="1">
      <alignment horizontal="left"/>
    </xf>
    <xf numFmtId="2" fontId="12" fillId="16" borderId="18" xfId="0" applyNumberFormat="1" applyFont="1" applyFill="1" applyBorder="1"/>
    <xf numFmtId="2" fontId="0" fillId="16" borderId="21" xfId="0" applyNumberFormat="1" applyFill="1" applyBorder="1"/>
    <xf numFmtId="2" fontId="40" fillId="16" borderId="20" xfId="0" applyNumberFormat="1" applyFont="1" applyFill="1" applyBorder="1"/>
    <xf numFmtId="2" fontId="15" fillId="16" borderId="0" xfId="0" applyNumberFormat="1" applyFont="1" applyFill="1" applyAlignment="1">
      <alignment horizontal="right"/>
    </xf>
    <xf numFmtId="2" fontId="36" fillId="16" borderId="29" xfId="0" applyNumberFormat="1" applyFont="1" applyFill="1" applyBorder="1" applyAlignment="1">
      <alignment horizontal="center"/>
    </xf>
    <xf numFmtId="2" fontId="36" fillId="16" borderId="30" xfId="0" applyNumberFormat="1" applyFont="1" applyFill="1" applyBorder="1" applyAlignment="1">
      <alignment horizontal="center"/>
    </xf>
    <xf numFmtId="2" fontId="16" fillId="16" borderId="0" xfId="0" quotePrefix="1" applyNumberFormat="1" applyFont="1" applyFill="1"/>
    <xf numFmtId="2" fontId="16" fillId="16" borderId="19" xfId="0" applyNumberFormat="1" applyFont="1" applyFill="1" applyBorder="1"/>
    <xf numFmtId="165" fontId="0" fillId="16" borderId="17" xfId="0" applyNumberFormat="1" applyFill="1" applyBorder="1"/>
    <xf numFmtId="2" fontId="36" fillId="16" borderId="0" xfId="0" applyNumberFormat="1" applyFont="1" applyFill="1" applyAlignment="1">
      <alignment horizontal="left"/>
    </xf>
    <xf numFmtId="2" fontId="8" fillId="16" borderId="24" xfId="0" applyNumberFormat="1" applyFont="1" applyFill="1" applyBorder="1"/>
    <xf numFmtId="2" fontId="36" fillId="16" borderId="20" xfId="0" applyNumberFormat="1" applyFont="1" applyFill="1" applyBorder="1"/>
    <xf numFmtId="2" fontId="16" fillId="16" borderId="18" xfId="0" applyNumberFormat="1" applyFont="1" applyFill="1" applyBorder="1"/>
    <xf numFmtId="2" fontId="8" fillId="16" borderId="21" xfId="0" applyNumberFormat="1" applyFont="1" applyFill="1" applyBorder="1" applyAlignment="1">
      <alignment horizontal="right"/>
    </xf>
    <xf numFmtId="2" fontId="15" fillId="16" borderId="15" xfId="0" applyNumberFormat="1" applyFont="1" applyFill="1" applyBorder="1" applyAlignment="1">
      <alignment horizontal="left"/>
    </xf>
    <xf numFmtId="2" fontId="0" fillId="16" borderId="20" xfId="0" applyNumberFormat="1" applyFill="1" applyBorder="1" applyAlignment="1">
      <alignment horizontal="right"/>
    </xf>
    <xf numFmtId="2" fontId="0" fillId="16" borderId="0" xfId="0" quotePrefix="1" applyNumberFormat="1" applyFill="1"/>
    <xf numFmtId="2" fontId="53" fillId="16" borderId="0" xfId="0" applyNumberFormat="1" applyFont="1" applyFill="1"/>
    <xf numFmtId="2" fontId="15" fillId="16" borderId="0" xfId="0" quotePrefix="1" applyNumberFormat="1" applyFont="1" applyFill="1" applyAlignment="1">
      <alignment horizontal="center"/>
    </xf>
    <xf numFmtId="2" fontId="15" fillId="16" borderId="20" xfId="0" quotePrefix="1" applyNumberFormat="1" applyFont="1" applyFill="1" applyBorder="1" applyAlignment="1">
      <alignment horizontal="center"/>
    </xf>
    <xf numFmtId="2" fontId="8" fillId="16" borderId="21" xfId="0" applyNumberFormat="1" applyFont="1" applyFill="1" applyBorder="1"/>
    <xf numFmtId="2" fontId="7" fillId="16" borderId="16" xfId="0" applyNumberFormat="1" applyFont="1" applyFill="1" applyBorder="1"/>
    <xf numFmtId="2" fontId="7" fillId="16" borderId="17" xfId="0" applyNumberFormat="1" applyFont="1" applyFill="1" applyBorder="1"/>
    <xf numFmtId="2" fontId="7" fillId="16" borderId="25" xfId="0" applyNumberFormat="1" applyFont="1" applyFill="1" applyBorder="1"/>
    <xf numFmtId="2" fontId="7" fillId="16" borderId="20" xfId="0" applyNumberFormat="1" applyFont="1" applyFill="1" applyBorder="1"/>
    <xf numFmtId="2" fontId="7" fillId="16" borderId="19" xfId="0" applyNumberFormat="1" applyFont="1" applyFill="1" applyBorder="1"/>
    <xf numFmtId="2" fontId="8" fillId="16" borderId="18" xfId="0" applyNumberFormat="1" applyFont="1" applyFill="1" applyBorder="1" applyAlignment="1">
      <alignment horizontal="center"/>
    </xf>
    <xf numFmtId="2" fontId="36" fillId="16" borderId="19" xfId="0" applyNumberFormat="1" applyFont="1" applyFill="1" applyBorder="1"/>
    <xf numFmtId="2" fontId="6" fillId="29" borderId="47" xfId="0" applyNumberFormat="1" applyFont="1" applyFill="1" applyBorder="1" applyAlignment="1">
      <alignment horizontal="center"/>
    </xf>
    <xf numFmtId="2" fontId="6" fillId="29" borderId="48" xfId="0" applyNumberFormat="1" applyFont="1" applyFill="1" applyBorder="1" applyAlignment="1">
      <alignment horizontal="center"/>
    </xf>
    <xf numFmtId="2" fontId="5" fillId="29" borderId="48" xfId="0" applyNumberFormat="1" applyFont="1" applyFill="1" applyBorder="1" applyAlignment="1">
      <alignment horizontal="center"/>
    </xf>
    <xf numFmtId="2" fontId="6" fillId="29" borderId="49" xfId="0" applyNumberFormat="1" applyFont="1" applyFill="1" applyBorder="1" applyAlignment="1">
      <alignment horizontal="center"/>
    </xf>
    <xf numFmtId="2" fontId="0" fillId="23" borderId="19" xfId="0" applyNumberFormat="1" applyFill="1" applyBorder="1" applyAlignment="1">
      <alignment horizontal="right"/>
    </xf>
    <xf numFmtId="9" fontId="0" fillId="19" borderId="20" xfId="0" applyNumberFormat="1" applyFill="1" applyBorder="1" applyAlignment="1">
      <alignment horizontal="center"/>
    </xf>
    <xf numFmtId="2" fontId="7" fillId="19" borderId="50" xfId="1" applyNumberFormat="1" applyFont="1" applyFill="1" applyBorder="1" applyAlignment="1" applyProtection="1">
      <alignment horizontal="center"/>
    </xf>
    <xf numFmtId="3" fontId="7" fillId="19" borderId="51" xfId="1" applyNumberFormat="1" applyFont="1" applyFill="1" applyBorder="1" applyAlignment="1" applyProtection="1">
      <alignment horizontal="center"/>
    </xf>
    <xf numFmtId="173" fontId="7" fillId="19" borderId="51" xfId="0" applyNumberFormat="1" applyFont="1" applyFill="1" applyBorder="1" applyAlignment="1">
      <alignment horizontal="center"/>
    </xf>
    <xf numFmtId="10" fontId="7" fillId="19" borderId="51" xfId="0" applyNumberFormat="1" applyFont="1" applyFill="1" applyBorder="1" applyAlignment="1">
      <alignment horizontal="center"/>
    </xf>
    <xf numFmtId="10" fontId="7" fillId="16" borderId="0" xfId="0" applyNumberFormat="1" applyFont="1" applyFill="1" applyAlignment="1">
      <alignment horizontal="center"/>
    </xf>
    <xf numFmtId="2" fontId="7" fillId="16" borderId="0" xfId="0" applyNumberFormat="1" applyFont="1" applyFill="1" applyAlignment="1">
      <alignment horizontal="center"/>
    </xf>
    <xf numFmtId="170" fontId="7" fillId="16" borderId="0" xfId="1" applyNumberFormat="1" applyFont="1" applyFill="1" applyBorder="1" applyAlignment="1" applyProtection="1">
      <alignment horizontal="right"/>
    </xf>
    <xf numFmtId="2" fontId="7" fillId="16" borderId="17" xfId="0" quotePrefix="1" applyNumberFormat="1" applyFont="1" applyFill="1" applyBorder="1"/>
    <xf numFmtId="2" fontId="8" fillId="16" borderId="0" xfId="0" applyNumberFormat="1" applyFont="1" applyFill="1"/>
    <xf numFmtId="2" fontId="8" fillId="16" borderId="17" xfId="0" applyNumberFormat="1" applyFont="1" applyFill="1" applyBorder="1" applyAlignment="1">
      <alignment horizontal="center"/>
    </xf>
    <xf numFmtId="2" fontId="36" fillId="23" borderId="0" xfId="0" applyNumberFormat="1" applyFont="1" applyFill="1" applyAlignment="1">
      <alignment horizontal="center"/>
    </xf>
    <xf numFmtId="166" fontId="36" fillId="23" borderId="0" xfId="0" applyNumberFormat="1" applyFont="1" applyFill="1" applyAlignment="1">
      <alignment horizontal="center"/>
    </xf>
    <xf numFmtId="2" fontId="57" fillId="23" borderId="18" xfId="0" applyNumberFormat="1" applyFont="1" applyFill="1" applyBorder="1" applyAlignment="1">
      <alignment horizontal="right"/>
    </xf>
    <xf numFmtId="10" fontId="5" fillId="32" borderId="6" xfId="0" applyNumberFormat="1" applyFont="1" applyFill="1" applyBorder="1" applyAlignment="1">
      <alignment horizontal="center"/>
    </xf>
    <xf numFmtId="174" fontId="0" fillId="19" borderId="0" xfId="1" applyNumberFormat="1" applyFont="1" applyFill="1" applyBorder="1" applyAlignment="1" applyProtection="1">
      <alignment horizontal="center"/>
    </xf>
    <xf numFmtId="166" fontId="6" fillId="32" borderId="0" xfId="1" applyNumberFormat="1" applyFont="1" applyFill="1" applyBorder="1" applyAlignment="1" applyProtection="1">
      <alignment horizontal="center"/>
    </xf>
    <xf numFmtId="2" fontId="7" fillId="18" borderId="18" xfId="0" applyNumberFormat="1" applyFont="1" applyFill="1" applyBorder="1"/>
    <xf numFmtId="2" fontId="7" fillId="18" borderId="0" xfId="0" applyNumberFormat="1" applyFont="1" applyFill="1"/>
    <xf numFmtId="2" fontId="11" fillId="18" borderId="18" xfId="0" applyNumberFormat="1" applyFont="1" applyFill="1" applyBorder="1"/>
    <xf numFmtId="2" fontId="7" fillId="18" borderId="0" xfId="0" applyNumberFormat="1" applyFont="1" applyFill="1" applyAlignment="1">
      <alignment horizontal="center"/>
    </xf>
    <xf numFmtId="170" fontId="7" fillId="18" borderId="0" xfId="1" applyNumberFormat="1" applyFont="1" applyFill="1" applyBorder="1" applyAlignment="1" applyProtection="1">
      <alignment horizontal="right"/>
    </xf>
    <xf numFmtId="2" fontId="8" fillId="18" borderId="0" xfId="0" applyNumberFormat="1" applyFont="1" applyFill="1" applyAlignment="1">
      <alignment horizontal="right"/>
    </xf>
    <xf numFmtId="2" fontId="7" fillId="18" borderId="0" xfId="0" applyNumberFormat="1" applyFont="1" applyFill="1" applyAlignment="1">
      <alignment horizontal="right"/>
    </xf>
    <xf numFmtId="2" fontId="8" fillId="18" borderId="18" xfId="0" applyNumberFormat="1" applyFont="1" applyFill="1" applyBorder="1" applyAlignment="1">
      <alignment horizontal="right"/>
    </xf>
    <xf numFmtId="2" fontId="15" fillId="18" borderId="0" xfId="0" applyNumberFormat="1" applyFont="1" applyFill="1" applyAlignment="1">
      <alignment horizontal="center"/>
    </xf>
    <xf numFmtId="2" fontId="11" fillId="18" borderId="0" xfId="0" applyNumberFormat="1" applyFont="1" applyFill="1" applyAlignment="1">
      <alignment horizontal="right"/>
    </xf>
    <xf numFmtId="10" fontId="17" fillId="18" borderId="0" xfId="0" applyNumberFormat="1" applyFont="1" applyFill="1" applyAlignment="1">
      <alignment horizontal="center"/>
    </xf>
    <xf numFmtId="37" fontId="15" fillId="18" borderId="0" xfId="1" applyNumberFormat="1" applyFont="1" applyFill="1" applyBorder="1" applyAlignment="1" applyProtection="1">
      <alignment horizontal="center"/>
    </xf>
    <xf numFmtId="2" fontId="8" fillId="18" borderId="17" xfId="0" applyNumberFormat="1" applyFont="1" applyFill="1" applyBorder="1" applyAlignment="1">
      <alignment horizontal="center"/>
    </xf>
    <xf numFmtId="2" fontId="7" fillId="18" borderId="0" xfId="0" applyNumberFormat="1" applyFont="1" applyFill="1" applyAlignment="1">
      <alignment horizontal="left"/>
    </xf>
    <xf numFmtId="10" fontId="17" fillId="18" borderId="46" xfId="0" applyNumberFormat="1" applyFont="1" applyFill="1" applyBorder="1" applyAlignment="1">
      <alignment horizontal="center"/>
    </xf>
    <xf numFmtId="2" fontId="8" fillId="28" borderId="21" xfId="0" applyNumberFormat="1" applyFont="1" applyFill="1" applyBorder="1"/>
    <xf numFmtId="2" fontId="0" fillId="28" borderId="15" xfId="0" applyNumberFormat="1" applyFill="1" applyBorder="1"/>
    <xf numFmtId="2" fontId="0" fillId="28" borderId="16" xfId="0" applyNumberFormat="1" applyFill="1" applyBorder="1"/>
    <xf numFmtId="2" fontId="0" fillId="28" borderId="0" xfId="0" applyNumberFormat="1" applyFill="1"/>
    <xf numFmtId="2" fontId="0" fillId="28" borderId="17" xfId="0" applyNumberFormat="1" applyFill="1" applyBorder="1"/>
    <xf numFmtId="2" fontId="0" fillId="28" borderId="0" xfId="0" applyNumberFormat="1" applyFill="1" applyAlignment="1">
      <alignment horizontal="right"/>
    </xf>
    <xf numFmtId="2" fontId="10" fillId="28" borderId="0" xfId="0" applyNumberFormat="1" applyFont="1" applyFill="1" applyAlignment="1">
      <alignment horizontal="right"/>
    </xf>
    <xf numFmtId="2" fontId="0" fillId="28" borderId="20" xfId="0" applyNumberFormat="1" applyFill="1" applyBorder="1"/>
    <xf numFmtId="173" fontId="8" fillId="19" borderId="0" xfId="2" applyNumberFormat="1" applyFont="1" applyFill="1" applyBorder="1" applyAlignment="1" applyProtection="1">
      <alignment horizontal="center"/>
    </xf>
    <xf numFmtId="2" fontId="16" fillId="28" borderId="18" xfId="0" applyNumberFormat="1" applyFont="1" applyFill="1" applyBorder="1" applyAlignment="1">
      <alignment horizontal="right"/>
    </xf>
    <xf numFmtId="2" fontId="16" fillId="28" borderId="19" xfId="0" applyNumberFormat="1" applyFont="1" applyFill="1" applyBorder="1" applyAlignment="1">
      <alignment horizontal="right"/>
    </xf>
    <xf numFmtId="166" fontId="15" fillId="19" borderId="33" xfId="0" applyNumberFormat="1" applyFont="1" applyFill="1" applyBorder="1" applyAlignment="1">
      <alignment horizontal="center"/>
    </xf>
    <xf numFmtId="2" fontId="17" fillId="23" borderId="15" xfId="0" quotePrefix="1" applyNumberFormat="1" applyFont="1" applyFill="1" applyBorder="1"/>
    <xf numFmtId="165" fontId="0" fillId="6" borderId="0" xfId="0" applyNumberFormat="1" applyFill="1"/>
    <xf numFmtId="4" fontId="15" fillId="19" borderId="33" xfId="0" applyNumberFormat="1" applyFont="1" applyFill="1" applyBorder="1" applyAlignment="1">
      <alignment horizontal="center"/>
    </xf>
    <xf numFmtId="167" fontId="0" fillId="6" borderId="0" xfId="0" applyNumberFormat="1" applyFill="1"/>
    <xf numFmtId="2" fontId="0" fillId="16" borderId="23" xfId="0" applyNumberFormat="1" applyFill="1" applyBorder="1" applyAlignment="1">
      <alignment horizontal="center"/>
    </xf>
    <xf numFmtId="2" fontId="0" fillId="16" borderId="38" xfId="0" applyNumberFormat="1" applyFill="1" applyBorder="1" applyAlignment="1">
      <alignment horizontal="center"/>
    </xf>
    <xf numFmtId="165" fontId="47" fillId="19" borderId="33" xfId="0" applyNumberFormat="1" applyFont="1" applyFill="1" applyBorder="1" applyAlignment="1">
      <alignment horizontal="center"/>
    </xf>
    <xf numFmtId="2" fontId="59" fillId="28" borderId="52" xfId="0" applyNumberFormat="1" applyFont="1" applyFill="1" applyBorder="1" applyAlignment="1">
      <alignment horizontal="center"/>
    </xf>
    <xf numFmtId="2" fontId="7" fillId="16" borderId="18" xfId="0" applyNumberFormat="1" applyFont="1" applyFill="1" applyBorder="1" applyAlignment="1">
      <alignment horizontal="right"/>
    </xf>
    <xf numFmtId="2" fontId="53" fillId="16" borderId="18" xfId="0" applyNumberFormat="1" applyFont="1" applyFill="1" applyBorder="1" applyAlignment="1">
      <alignment horizontal="right"/>
    </xf>
    <xf numFmtId="2" fontId="53" fillId="16" borderId="19" xfId="0" applyNumberFormat="1" applyFont="1" applyFill="1" applyBorder="1" applyAlignment="1">
      <alignment horizontal="right"/>
    </xf>
    <xf numFmtId="173" fontId="5" fillId="32" borderId="38" xfId="2" applyNumberFormat="1" applyFont="1" applyFill="1" applyBorder="1" applyAlignment="1" applyProtection="1">
      <alignment horizontal="center"/>
    </xf>
    <xf numFmtId="173" fontId="5" fillId="32" borderId="33" xfId="2" applyNumberFormat="1" applyFont="1" applyFill="1" applyBorder="1" applyAlignment="1" applyProtection="1">
      <alignment horizontal="center"/>
    </xf>
    <xf numFmtId="10" fontId="5" fillId="32" borderId="33" xfId="2" applyNumberFormat="1" applyFont="1" applyFill="1" applyBorder="1" applyAlignment="1" applyProtection="1">
      <alignment horizontal="center"/>
    </xf>
    <xf numFmtId="10" fontId="8" fillId="19" borderId="0" xfId="2" applyNumberFormat="1" applyFont="1" applyFill="1" applyBorder="1" applyAlignment="1" applyProtection="1">
      <alignment horizontal="center"/>
    </xf>
    <xf numFmtId="10" fontId="7" fillId="16" borderId="20" xfId="2" applyNumberFormat="1" applyFont="1" applyFill="1" applyBorder="1" applyAlignment="1" applyProtection="1">
      <alignment horizontal="center"/>
    </xf>
    <xf numFmtId="10" fontId="7" fillId="22" borderId="20" xfId="2" applyNumberFormat="1" applyFont="1" applyFill="1" applyBorder="1" applyAlignment="1" applyProtection="1">
      <alignment horizontal="center"/>
    </xf>
    <xf numFmtId="2" fontId="7" fillId="18" borderId="18" xfId="0" applyNumberFormat="1" applyFont="1" applyFill="1" applyBorder="1" applyAlignment="1">
      <alignment horizontal="right"/>
    </xf>
    <xf numFmtId="2" fontId="11" fillId="18" borderId="18" xfId="0" applyNumberFormat="1" applyFont="1" applyFill="1" applyBorder="1" applyAlignment="1">
      <alignment horizontal="right"/>
    </xf>
    <xf numFmtId="2" fontId="11" fillId="16" borderId="18" xfId="0" applyNumberFormat="1" applyFont="1" applyFill="1" applyBorder="1" applyAlignment="1">
      <alignment horizontal="right"/>
    </xf>
    <xf numFmtId="2" fontId="7" fillId="18" borderId="19" xfId="0" applyNumberFormat="1" applyFont="1" applyFill="1" applyBorder="1"/>
    <xf numFmtId="2" fontId="7" fillId="18" borderId="20" xfId="0" applyNumberFormat="1" applyFont="1" applyFill="1" applyBorder="1"/>
    <xf numFmtId="2" fontId="53" fillId="18" borderId="20" xfId="0" applyNumberFormat="1" applyFont="1" applyFill="1" applyBorder="1" applyAlignment="1">
      <alignment horizontal="right"/>
    </xf>
    <xf numFmtId="10" fontId="17" fillId="18" borderId="20" xfId="2" applyNumberFormat="1" applyFont="1" applyFill="1" applyBorder="1" applyAlignment="1" applyProtection="1">
      <alignment horizontal="center"/>
    </xf>
    <xf numFmtId="2" fontId="7" fillId="16" borderId="0" xfId="0" applyNumberFormat="1" applyFont="1" applyFill="1" applyAlignment="1">
      <alignment horizontal="left"/>
    </xf>
    <xf numFmtId="9" fontId="8" fillId="16" borderId="17" xfId="0" applyNumberFormat="1" applyFont="1" applyFill="1" applyBorder="1" applyAlignment="1">
      <alignment horizontal="center"/>
    </xf>
    <xf numFmtId="2" fontId="53" fillId="16" borderId="20" xfId="0" applyNumberFormat="1" applyFont="1" applyFill="1" applyBorder="1" applyAlignment="1">
      <alignment horizontal="right"/>
    </xf>
    <xf numFmtId="10" fontId="7" fillId="16" borderId="46" xfId="0" applyNumberFormat="1" applyFont="1" applyFill="1" applyBorder="1" applyAlignment="1">
      <alignment horizontal="center"/>
    </xf>
    <xf numFmtId="39" fontId="15" fillId="0" borderId="0" xfId="1" applyNumberFormat="1" applyFont="1" applyFill="1" applyBorder="1" applyAlignment="1" applyProtection="1">
      <alignment horizontal="center"/>
    </xf>
    <xf numFmtId="2" fontId="10" fillId="8" borderId="18" xfId="0" applyNumberFormat="1" applyFont="1" applyFill="1" applyBorder="1" applyAlignment="1">
      <alignment horizontal="right"/>
    </xf>
    <xf numFmtId="2" fontId="40" fillId="16" borderId="0" xfId="0" applyNumberFormat="1" applyFont="1" applyFill="1" applyAlignment="1">
      <alignment horizontal="right"/>
    </xf>
    <xf numFmtId="175" fontId="15" fillId="19" borderId="53" xfId="0" applyNumberFormat="1" applyFont="1" applyFill="1" applyBorder="1" applyAlignment="1">
      <alignment horizontal="center"/>
    </xf>
    <xf numFmtId="2" fontId="0" fillId="28" borderId="54" xfId="0" applyNumberFormat="1" applyFill="1" applyBorder="1"/>
    <xf numFmtId="2" fontId="0" fillId="28" borderId="56" xfId="0" applyNumberFormat="1" applyFill="1" applyBorder="1"/>
    <xf numFmtId="2" fontId="0" fillId="28" borderId="55" xfId="0" applyNumberFormat="1" applyFill="1" applyBorder="1"/>
    <xf numFmtId="2" fontId="15" fillId="28" borderId="57" xfId="0" applyNumberFormat="1" applyFont="1" applyFill="1" applyBorder="1"/>
    <xf numFmtId="2" fontId="15" fillId="28" borderId="54" xfId="0" applyNumberFormat="1" applyFont="1" applyFill="1" applyBorder="1"/>
    <xf numFmtId="2" fontId="15" fillId="28" borderId="58" xfId="0" applyNumberFormat="1" applyFont="1" applyFill="1" applyBorder="1"/>
    <xf numFmtId="2" fontId="15" fillId="28" borderId="55" xfId="0" applyNumberFormat="1" applyFont="1" applyFill="1" applyBorder="1"/>
    <xf numFmtId="2" fontId="40" fillId="28" borderId="54" xfId="0" applyNumberFormat="1" applyFont="1" applyFill="1" applyBorder="1" applyAlignment="1">
      <alignment horizontal="right"/>
    </xf>
    <xf numFmtId="2" fontId="40" fillId="28" borderId="55" xfId="0" applyNumberFormat="1" applyFont="1" applyFill="1" applyBorder="1" applyAlignment="1">
      <alignment horizontal="right"/>
    </xf>
    <xf numFmtId="2" fontId="15" fillId="16" borderId="57" xfId="0" applyNumberFormat="1" applyFont="1" applyFill="1" applyBorder="1"/>
    <xf numFmtId="2" fontId="15" fillId="16" borderId="54" xfId="0" applyNumberFormat="1" applyFont="1" applyFill="1" applyBorder="1"/>
    <xf numFmtId="2" fontId="0" fillId="16" borderId="54" xfId="0" applyNumberFormat="1" applyFill="1" applyBorder="1"/>
    <xf numFmtId="2" fontId="40" fillId="16" borderId="54" xfId="0" applyNumberFormat="1" applyFont="1" applyFill="1" applyBorder="1" applyAlignment="1">
      <alignment horizontal="right"/>
    </xf>
    <xf numFmtId="2" fontId="0" fillId="16" borderId="56" xfId="0" applyNumberFormat="1" applyFill="1" applyBorder="1"/>
    <xf numFmtId="2" fontId="15" fillId="16" borderId="58" xfId="0" applyNumberFormat="1" applyFont="1" applyFill="1" applyBorder="1"/>
    <xf numFmtId="2" fontId="15" fillId="16" borderId="55" xfId="0" applyNumberFormat="1" applyFont="1" applyFill="1" applyBorder="1"/>
    <xf numFmtId="2" fontId="0" fillId="16" borderId="55" xfId="0" applyNumberFormat="1" applyFill="1" applyBorder="1"/>
    <xf numFmtId="2" fontId="40" fillId="16" borderId="55" xfId="0" applyNumberFormat="1" applyFont="1" applyFill="1" applyBorder="1" applyAlignment="1">
      <alignment horizontal="right"/>
    </xf>
    <xf numFmtId="2" fontId="0" fillId="23" borderId="59" xfId="0" applyNumberFormat="1" applyFill="1" applyBorder="1"/>
    <xf numFmtId="2" fontId="8" fillId="19" borderId="60" xfId="0" applyNumberFormat="1" applyFont="1" applyFill="1" applyBorder="1" applyAlignment="1">
      <alignment horizontal="center"/>
    </xf>
    <xf numFmtId="2" fontId="8" fillId="19" borderId="38" xfId="0" applyNumberFormat="1" applyFont="1" applyFill="1" applyBorder="1" applyAlignment="1">
      <alignment horizontal="center"/>
    </xf>
    <xf numFmtId="10" fontId="15" fillId="19" borderId="33" xfId="0" applyNumberFormat="1" applyFont="1" applyFill="1" applyBorder="1" applyAlignment="1">
      <alignment horizontal="center"/>
    </xf>
    <xf numFmtId="10" fontId="8" fillId="5" borderId="33" xfId="0" applyNumberFormat="1" applyFont="1" applyFill="1" applyBorder="1" applyAlignment="1">
      <alignment horizontal="center"/>
    </xf>
    <xf numFmtId="176" fontId="5" fillId="32" borderId="6" xfId="1" applyNumberFormat="1" applyFont="1" applyFill="1" applyBorder="1" applyAlignment="1" applyProtection="1">
      <alignment horizontal="center"/>
    </xf>
    <xf numFmtId="176" fontId="15" fillId="22" borderId="54" xfId="1" applyNumberFormat="1" applyFont="1" applyFill="1" applyBorder="1" applyAlignment="1" applyProtection="1">
      <alignment horizontal="center"/>
    </xf>
    <xf numFmtId="176" fontId="15" fillId="22" borderId="55" xfId="1" applyNumberFormat="1" applyFont="1" applyFill="1" applyBorder="1" applyAlignment="1" applyProtection="1">
      <alignment horizontal="center"/>
    </xf>
    <xf numFmtId="39" fontId="15" fillId="16" borderId="0" xfId="1" applyNumberFormat="1" applyFont="1" applyFill="1" applyBorder="1" applyAlignment="1" applyProtection="1">
      <alignment horizontal="center"/>
    </xf>
    <xf numFmtId="9" fontId="16" fillId="19" borderId="0" xfId="0" applyNumberFormat="1" applyFont="1" applyFill="1" applyAlignment="1">
      <alignment horizontal="center"/>
    </xf>
    <xf numFmtId="2" fontId="36" fillId="23" borderId="19" xfId="0" applyNumberFormat="1" applyFont="1" applyFill="1" applyBorder="1" applyAlignment="1">
      <alignment horizontal="right"/>
    </xf>
    <xf numFmtId="2" fontId="36" fillId="16" borderId="20" xfId="0" applyNumberFormat="1" applyFont="1" applyFill="1" applyBorder="1" applyAlignment="1">
      <alignment horizontal="right"/>
    </xf>
    <xf numFmtId="2" fontId="6" fillId="29" borderId="61" xfId="0" applyNumberFormat="1" applyFont="1" applyFill="1" applyBorder="1" applyAlignment="1">
      <alignment horizontal="center"/>
    </xf>
    <xf numFmtId="2" fontId="6" fillId="29" borderId="62" xfId="0" applyNumberFormat="1" applyFont="1" applyFill="1" applyBorder="1" applyAlignment="1">
      <alignment horizontal="center"/>
    </xf>
    <xf numFmtId="2" fontId="5" fillId="29" borderId="62" xfId="0" applyNumberFormat="1" applyFont="1" applyFill="1" applyBorder="1" applyAlignment="1">
      <alignment horizontal="center"/>
    </xf>
    <xf numFmtId="2" fontId="6" fillId="29" borderId="63" xfId="0" applyNumberFormat="1" applyFont="1" applyFill="1" applyBorder="1" applyAlignment="1">
      <alignment horizontal="center"/>
    </xf>
    <xf numFmtId="2" fontId="9" fillId="31" borderId="12" xfId="0" applyNumberFormat="1" applyFont="1" applyFill="1" applyBorder="1"/>
    <xf numFmtId="2" fontId="0" fillId="31" borderId="10" xfId="0" applyNumberFormat="1" applyFill="1" applyBorder="1"/>
    <xf numFmtId="10" fontId="7" fillId="5" borderId="10" xfId="0" applyNumberFormat="1" applyFont="1" applyFill="1" applyBorder="1" applyAlignment="1">
      <alignment horizontal="center"/>
    </xf>
    <xf numFmtId="2" fontId="0" fillId="31" borderId="56" xfId="0" applyNumberFormat="1" applyFill="1" applyBorder="1"/>
    <xf numFmtId="2" fontId="0" fillId="30" borderId="64" xfId="0" applyNumberFormat="1" applyFill="1" applyBorder="1" applyAlignment="1">
      <alignment horizontal="right"/>
    </xf>
    <xf numFmtId="2" fontId="0" fillId="30" borderId="66" xfId="0" applyNumberFormat="1" applyFill="1" applyBorder="1"/>
    <xf numFmtId="2" fontId="7" fillId="5" borderId="66" xfId="0" applyNumberFormat="1" applyFont="1" applyFill="1" applyBorder="1" applyAlignment="1">
      <alignment horizontal="center"/>
    </xf>
    <xf numFmtId="3" fontId="7" fillId="5" borderId="55" xfId="0" applyNumberFormat="1" applyFont="1" applyFill="1" applyBorder="1" applyAlignment="1">
      <alignment horizontal="center"/>
    </xf>
    <xf numFmtId="2" fontId="0" fillId="30" borderId="55" xfId="0" applyNumberFormat="1" applyFill="1" applyBorder="1"/>
    <xf numFmtId="2" fontId="7" fillId="30" borderId="55" xfId="0" applyNumberFormat="1" applyFont="1" applyFill="1" applyBorder="1"/>
    <xf numFmtId="9" fontId="7" fillId="38" borderId="55" xfId="0" applyNumberFormat="1" applyFont="1" applyFill="1" applyBorder="1" applyAlignment="1">
      <alignment horizontal="center"/>
    </xf>
    <xf numFmtId="2" fontId="0" fillId="30" borderId="55" xfId="0" applyNumberFormat="1" applyFill="1" applyBorder="1" applyAlignment="1">
      <alignment horizontal="right"/>
    </xf>
    <xf numFmtId="9" fontId="7" fillId="5" borderId="53" xfId="0" applyNumberFormat="1" applyFont="1" applyFill="1" applyBorder="1" applyAlignment="1">
      <alignment horizontal="center"/>
    </xf>
    <xf numFmtId="2" fontId="0" fillId="6" borderId="54" xfId="0" applyNumberFormat="1" applyFill="1" applyBorder="1"/>
    <xf numFmtId="2" fontId="0" fillId="23" borderId="57" xfId="0" applyNumberFormat="1" applyFill="1" applyBorder="1"/>
    <xf numFmtId="1" fontId="0" fillId="6" borderId="0" xfId="0" applyNumberFormat="1" applyFill="1" applyAlignment="1">
      <alignment horizontal="center"/>
    </xf>
    <xf numFmtId="1" fontId="0" fillId="16" borderId="0" xfId="0" applyNumberFormat="1" applyFill="1" applyAlignment="1">
      <alignment horizontal="center"/>
    </xf>
    <xf numFmtId="1" fontId="0" fillId="14" borderId="0" xfId="0" applyNumberFormat="1" applyFill="1" applyAlignment="1">
      <alignment horizontal="center"/>
    </xf>
    <xf numFmtId="10" fontId="5" fillId="39" borderId="0" xfId="0" applyNumberFormat="1" applyFont="1" applyFill="1"/>
    <xf numFmtId="2" fontId="62" fillId="11" borderId="0" xfId="0" applyNumberFormat="1" applyFont="1" applyFill="1"/>
    <xf numFmtId="2" fontId="5" fillId="32" borderId="0" xfId="0" applyNumberFormat="1" applyFont="1" applyFill="1"/>
    <xf numFmtId="173" fontId="6" fillId="32" borderId="0" xfId="0" applyNumberFormat="1" applyFont="1" applyFill="1"/>
    <xf numFmtId="2" fontId="6" fillId="32" borderId="0" xfId="0" applyNumberFormat="1" applyFont="1" applyFill="1" applyAlignment="1">
      <alignment horizontal="right"/>
    </xf>
    <xf numFmtId="2" fontId="6" fillId="32" borderId="0" xfId="0" applyNumberFormat="1" applyFont="1" applyFill="1" applyAlignment="1">
      <alignment horizontal="center"/>
    </xf>
    <xf numFmtId="2" fontId="6" fillId="32" borderId="67" xfId="0" applyNumberFormat="1" applyFont="1" applyFill="1" applyBorder="1" applyAlignment="1">
      <alignment horizontal="center"/>
    </xf>
    <xf numFmtId="2" fontId="6" fillId="32" borderId="67" xfId="0" applyNumberFormat="1" applyFont="1" applyFill="1" applyBorder="1" applyAlignment="1">
      <alignment horizontal="left"/>
    </xf>
    <xf numFmtId="2" fontId="63" fillId="32" borderId="67" xfId="0" applyNumberFormat="1" applyFont="1" applyFill="1" applyBorder="1" applyAlignment="1">
      <alignment horizontal="center"/>
    </xf>
    <xf numFmtId="2" fontId="0" fillId="23" borderId="54" xfId="0" applyNumberFormat="1" applyFill="1" applyBorder="1"/>
    <xf numFmtId="2" fontId="0" fillId="16" borderId="60" xfId="0" applyNumberFormat="1" applyFill="1" applyBorder="1" applyAlignment="1">
      <alignment horizontal="center"/>
    </xf>
    <xf numFmtId="165" fontId="8" fillId="19" borderId="33" xfId="0" applyNumberFormat="1" applyFont="1" applyFill="1" applyBorder="1" applyAlignment="1">
      <alignment horizontal="center"/>
    </xf>
    <xf numFmtId="2" fontId="40" fillId="8" borderId="0" xfId="0" applyNumberFormat="1" applyFont="1" applyFill="1" applyAlignment="1">
      <alignment horizontal="right"/>
    </xf>
    <xf numFmtId="2" fontId="65" fillId="8" borderId="20" xfId="0" applyNumberFormat="1" applyFont="1" applyFill="1" applyBorder="1" applyAlignment="1">
      <alignment horizontal="right"/>
    </xf>
    <xf numFmtId="173" fontId="6" fillId="32" borderId="0" xfId="2" applyNumberFormat="1" applyFont="1" applyFill="1" applyProtection="1"/>
    <xf numFmtId="0" fontId="67" fillId="0" borderId="0" xfId="0" applyFont="1"/>
    <xf numFmtId="1" fontId="69" fillId="41" borderId="0" xfId="0" applyNumberFormat="1" applyFont="1" applyFill="1" applyAlignment="1">
      <alignment horizontal="center"/>
    </xf>
    <xf numFmtId="2" fontId="40" fillId="42" borderId="20" xfId="0" applyNumberFormat="1" applyFont="1" applyFill="1" applyBorder="1"/>
    <xf numFmtId="2" fontId="0" fillId="46" borderId="0" xfId="0" applyNumberFormat="1" applyFill="1"/>
    <xf numFmtId="2" fontId="0" fillId="46" borderId="17" xfId="0" applyNumberFormat="1" applyFill="1" applyBorder="1"/>
    <xf numFmtId="2" fontId="0" fillId="46" borderId="20" xfId="0" applyNumberFormat="1" applyFill="1" applyBorder="1"/>
    <xf numFmtId="167" fontId="8" fillId="47" borderId="22" xfId="0" applyNumberFormat="1" applyFont="1" applyFill="1" applyBorder="1" applyAlignment="1">
      <alignment horizontal="center"/>
    </xf>
    <xf numFmtId="2" fontId="15" fillId="46" borderId="0" xfId="0" applyNumberFormat="1" applyFont="1" applyFill="1" applyAlignment="1">
      <alignment horizontal="right"/>
    </xf>
    <xf numFmtId="2" fontId="36" fillId="46" borderId="0" xfId="0" applyNumberFormat="1" applyFont="1" applyFill="1" applyAlignment="1">
      <alignment horizontal="left"/>
    </xf>
    <xf numFmtId="2" fontId="73" fillId="28" borderId="18" xfId="0" applyNumberFormat="1" applyFont="1" applyFill="1" applyBorder="1" applyAlignment="1">
      <alignment horizontal="right"/>
    </xf>
    <xf numFmtId="2" fontId="7" fillId="16" borderId="0" xfId="0" quotePrefix="1" applyNumberFormat="1" applyFont="1" applyFill="1"/>
    <xf numFmtId="2" fontId="8" fillId="16" borderId="0" xfId="0" applyNumberFormat="1" applyFont="1" applyFill="1" applyAlignment="1">
      <alignment horizontal="center"/>
    </xf>
    <xf numFmtId="9" fontId="8" fillId="16" borderId="0" xfId="0" applyNumberFormat="1" applyFont="1" applyFill="1" applyAlignment="1">
      <alignment horizontal="center"/>
    </xf>
    <xf numFmtId="2" fontId="8" fillId="16" borderId="26" xfId="0" applyNumberFormat="1" applyFont="1" applyFill="1" applyBorder="1"/>
    <xf numFmtId="2" fontId="8" fillId="16" borderId="27" xfId="0" applyNumberFormat="1" applyFont="1" applyFill="1" applyBorder="1"/>
    <xf numFmtId="2" fontId="8" fillId="16" borderId="28" xfId="0" applyNumberFormat="1" applyFont="1" applyFill="1" applyBorder="1"/>
    <xf numFmtId="1" fontId="0" fillId="40" borderId="0" xfId="0" applyNumberFormat="1" applyFill="1" applyAlignment="1">
      <alignment horizontal="center"/>
    </xf>
    <xf numFmtId="2" fontId="0" fillId="40" borderId="0" xfId="0" applyNumberFormat="1" applyFill="1"/>
    <xf numFmtId="2" fontId="0" fillId="0" borderId="0" xfId="0" applyNumberFormat="1"/>
    <xf numFmtId="0" fontId="0" fillId="42" borderId="0" xfId="0" applyFill="1"/>
    <xf numFmtId="0" fontId="67" fillId="42" borderId="0" xfId="0" applyFont="1" applyFill="1"/>
    <xf numFmtId="10" fontId="67" fillId="42" borderId="0" xfId="2" applyNumberFormat="1" applyFont="1" applyFill="1"/>
    <xf numFmtId="172" fontId="67" fillId="42" borderId="0" xfId="1" applyNumberFormat="1" applyFont="1" applyFill="1"/>
    <xf numFmtId="0" fontId="0" fillId="42" borderId="0" xfId="0" quotePrefix="1" applyFill="1"/>
    <xf numFmtId="0" fontId="17" fillId="42" borderId="0" xfId="0" quotePrefix="1" applyFont="1" applyFill="1"/>
    <xf numFmtId="0" fontId="0" fillId="42" borderId="0" xfId="0" applyFill="1" applyAlignment="1">
      <alignment horizontal="right"/>
    </xf>
    <xf numFmtId="0" fontId="0" fillId="42" borderId="0" xfId="0" applyFill="1" applyAlignment="1">
      <alignment horizontal="center"/>
    </xf>
    <xf numFmtId="173" fontId="0" fillId="48" borderId="0" xfId="2" applyNumberFormat="1" applyFont="1" applyFill="1" applyAlignment="1">
      <alignment horizontal="center"/>
    </xf>
    <xf numFmtId="0" fontId="0" fillId="49" borderId="0" xfId="0" applyFill="1"/>
    <xf numFmtId="0" fontId="17" fillId="49" borderId="0" xfId="0" applyFont="1" applyFill="1"/>
    <xf numFmtId="2" fontId="8" fillId="18" borderId="21" xfId="0" applyNumberFormat="1" applyFont="1" applyFill="1" applyBorder="1"/>
    <xf numFmtId="2" fontId="7" fillId="18" borderId="15" xfId="0" applyNumberFormat="1" applyFont="1" applyFill="1" applyBorder="1" applyAlignment="1">
      <alignment horizontal="right"/>
    </xf>
    <xf numFmtId="2" fontId="8" fillId="18" borderId="16" xfId="0" applyNumberFormat="1" applyFont="1" applyFill="1" applyBorder="1" applyAlignment="1">
      <alignment horizontal="left"/>
    </xf>
    <xf numFmtId="2" fontId="7" fillId="18" borderId="20" xfId="0" applyNumberFormat="1" applyFont="1" applyFill="1" applyBorder="1" applyAlignment="1">
      <alignment horizontal="right"/>
    </xf>
    <xf numFmtId="2" fontId="8" fillId="18" borderId="25" xfId="0" applyNumberFormat="1" applyFont="1" applyFill="1" applyBorder="1" applyAlignment="1">
      <alignment horizontal="left"/>
    </xf>
    <xf numFmtId="2" fontId="17" fillId="18" borderId="22" xfId="0" applyNumberFormat="1" applyFont="1" applyFill="1" applyBorder="1" applyAlignment="1">
      <alignment horizontal="center"/>
    </xf>
    <xf numFmtId="2" fontId="0" fillId="6" borderId="15" xfId="0" applyNumberFormat="1" applyFill="1" applyBorder="1"/>
    <xf numFmtId="2" fontId="7" fillId="16" borderId="15" xfId="0" applyNumberFormat="1" applyFont="1" applyFill="1" applyBorder="1" applyAlignment="1">
      <alignment horizontal="right"/>
    </xf>
    <xf numFmtId="39" fontId="15" fillId="16" borderId="16" xfId="1" applyNumberFormat="1" applyFont="1" applyFill="1" applyBorder="1" applyAlignment="1" applyProtection="1">
      <alignment horizontal="center"/>
    </xf>
    <xf numFmtId="2" fontId="7" fillId="16" borderId="20" xfId="0" applyNumberFormat="1" applyFont="1" applyFill="1" applyBorder="1" applyAlignment="1">
      <alignment horizontal="right"/>
    </xf>
    <xf numFmtId="39" fontId="15" fillId="16" borderId="25" xfId="1" applyNumberFormat="1" applyFont="1" applyFill="1" applyBorder="1" applyAlignment="1" applyProtection="1">
      <alignment horizontal="center"/>
    </xf>
    <xf numFmtId="2" fontId="8" fillId="18" borderId="0" xfId="0" applyNumberFormat="1" applyFont="1" applyFill="1" applyAlignment="1">
      <alignment horizontal="center"/>
    </xf>
    <xf numFmtId="2" fontId="7" fillId="18" borderId="0" xfId="0" quotePrefix="1" applyNumberFormat="1" applyFont="1" applyFill="1"/>
    <xf numFmtId="9" fontId="8" fillId="18" borderId="0" xfId="0" applyNumberFormat="1" applyFont="1" applyFill="1" applyAlignment="1">
      <alignment horizontal="center"/>
    </xf>
    <xf numFmtId="2" fontId="8" fillId="18" borderId="25" xfId="0" applyNumberFormat="1" applyFont="1" applyFill="1" applyBorder="1" applyAlignment="1">
      <alignment horizontal="center"/>
    </xf>
    <xf numFmtId="2" fontId="8" fillId="18" borderId="26" xfId="0" applyNumberFormat="1" applyFont="1" applyFill="1" applyBorder="1"/>
    <xf numFmtId="2" fontId="8" fillId="18" borderId="27" xfId="0" applyNumberFormat="1" applyFont="1" applyFill="1" applyBorder="1"/>
    <xf numFmtId="2" fontId="8" fillId="18" borderId="28" xfId="0" applyNumberFormat="1" applyFont="1" applyFill="1" applyBorder="1" applyAlignment="1">
      <alignment horizontal="center"/>
    </xf>
    <xf numFmtId="173" fontId="7" fillId="18" borderId="0" xfId="0" applyNumberFormat="1" applyFont="1" applyFill="1" applyAlignment="1">
      <alignment horizontal="center"/>
    </xf>
    <xf numFmtId="170" fontId="7" fillId="18" borderId="46" xfId="1" applyNumberFormat="1" applyFont="1" applyFill="1" applyBorder="1" applyAlignment="1" applyProtection="1">
      <alignment horizontal="right"/>
    </xf>
    <xf numFmtId="10" fontId="8" fillId="18" borderId="0" xfId="0" applyNumberFormat="1" applyFont="1" applyFill="1" applyAlignment="1">
      <alignment horizontal="center"/>
    </xf>
    <xf numFmtId="10" fontId="7" fillId="47" borderId="17" xfId="0" applyNumberFormat="1" applyFont="1" applyFill="1" applyBorder="1" applyAlignment="1">
      <alignment horizontal="center"/>
    </xf>
    <xf numFmtId="10" fontId="8" fillId="47" borderId="17" xfId="0" applyNumberFormat="1" applyFont="1" applyFill="1" applyBorder="1" applyAlignment="1">
      <alignment horizontal="center"/>
    </xf>
    <xf numFmtId="2" fontId="0" fillId="47" borderId="23" xfId="0" applyNumberFormat="1" applyFill="1" applyBorder="1" applyAlignment="1">
      <alignment horizontal="center"/>
    </xf>
    <xf numFmtId="2" fontId="0" fillId="47" borderId="38" xfId="0" applyNumberFormat="1" applyFill="1" applyBorder="1" applyAlignment="1">
      <alignment horizontal="center"/>
    </xf>
    <xf numFmtId="166" fontId="0" fillId="6" borderId="8" xfId="0" applyNumberFormat="1" applyFill="1" applyBorder="1"/>
    <xf numFmtId="166" fontId="0" fillId="6" borderId="0" xfId="0" applyNumberFormat="1" applyFill="1"/>
    <xf numFmtId="166" fontId="0" fillId="6" borderId="0" xfId="0" applyNumberFormat="1" applyFill="1" applyAlignment="1">
      <alignment horizontal="center"/>
    </xf>
    <xf numFmtId="166" fontId="0" fillId="15" borderId="0" xfId="0" applyNumberFormat="1" applyFill="1"/>
    <xf numFmtId="166" fontId="0" fillId="10" borderId="0" xfId="0" applyNumberFormat="1" applyFill="1"/>
    <xf numFmtId="166" fontId="0" fillId="6" borderId="54" xfId="0" applyNumberFormat="1" applyFill="1" applyBorder="1"/>
    <xf numFmtId="166" fontId="0" fillId="6" borderId="0" xfId="0" applyNumberFormat="1" applyFill="1" applyAlignment="1">
      <alignment horizontal="left"/>
    </xf>
    <xf numFmtId="166" fontId="0" fillId="12" borderId="0" xfId="0" applyNumberFormat="1" applyFill="1"/>
    <xf numFmtId="166" fontId="0" fillId="14" borderId="0" xfId="0" applyNumberFormat="1" applyFill="1"/>
    <xf numFmtId="166" fontId="0" fillId="40" borderId="0" xfId="0" applyNumberFormat="1" applyFill="1"/>
    <xf numFmtId="166" fontId="0" fillId="6" borderId="56" xfId="0" applyNumberFormat="1" applyFill="1" applyBorder="1"/>
    <xf numFmtId="166" fontId="0" fillId="17" borderId="0" xfId="0" applyNumberFormat="1" applyFill="1"/>
    <xf numFmtId="166" fontId="0" fillId="0" borderId="0" xfId="0" applyNumberFormat="1"/>
    <xf numFmtId="166" fontId="9" fillId="6" borderId="0" xfId="0" applyNumberFormat="1" applyFont="1" applyFill="1"/>
    <xf numFmtId="2" fontId="8" fillId="14" borderId="0" xfId="0" applyNumberFormat="1" applyFont="1" applyFill="1"/>
    <xf numFmtId="0" fontId="0" fillId="18" borderId="0" xfId="0" applyFill="1"/>
    <xf numFmtId="0" fontId="0" fillId="16" borderId="0" xfId="0" applyFill="1"/>
    <xf numFmtId="0" fontId="17" fillId="23" borderId="21" xfId="0" applyFont="1" applyFill="1" applyBorder="1"/>
    <xf numFmtId="0" fontId="17" fillId="23" borderId="15" xfId="0" applyFont="1" applyFill="1" applyBorder="1"/>
    <xf numFmtId="0" fontId="15" fillId="23" borderId="15" xfId="0" applyFont="1" applyFill="1" applyBorder="1" applyAlignment="1">
      <alignment horizontal="center"/>
    </xf>
    <xf numFmtId="0" fontId="17" fillId="23" borderId="16" xfId="0" applyFont="1" applyFill="1" applyBorder="1"/>
    <xf numFmtId="0" fontId="0" fillId="18" borderId="15" xfId="0" applyFill="1" applyBorder="1"/>
    <xf numFmtId="0" fontId="0" fillId="18" borderId="19" xfId="0" applyFill="1" applyBorder="1" applyAlignment="1">
      <alignment horizontal="right"/>
    </xf>
    <xf numFmtId="0" fontId="0" fillId="18" borderId="20" xfId="0" applyFill="1" applyBorder="1"/>
    <xf numFmtId="0" fontId="36" fillId="23" borderId="15" xfId="0" applyFont="1" applyFill="1" applyBorder="1"/>
    <xf numFmtId="1" fontId="8" fillId="22" borderId="0" xfId="0" applyNumberFormat="1" applyFont="1" applyFill="1" applyAlignment="1">
      <alignment horizontal="center"/>
    </xf>
    <xf numFmtId="0" fontId="15" fillId="16" borderId="15" xfId="0" applyFont="1" applyFill="1" applyBorder="1" applyAlignment="1">
      <alignment horizontal="center"/>
    </xf>
    <xf numFmtId="0" fontId="0" fillId="16" borderId="15" xfId="0" applyFill="1" applyBorder="1"/>
    <xf numFmtId="0" fontId="0" fillId="16" borderId="19" xfId="0" applyFill="1" applyBorder="1" applyAlignment="1">
      <alignment horizontal="right"/>
    </xf>
    <xf numFmtId="0" fontId="0" fillId="16" borderId="20" xfId="0" applyFill="1" applyBorder="1"/>
    <xf numFmtId="10" fontId="8" fillId="22" borderId="0" xfId="2" applyNumberFormat="1" applyFont="1" applyFill="1" applyBorder="1" applyAlignment="1" applyProtection="1">
      <alignment horizontal="center"/>
    </xf>
    <xf numFmtId="173" fontId="7" fillId="16" borderId="0" xfId="0" applyNumberFormat="1" applyFont="1" applyFill="1" applyAlignment="1">
      <alignment horizontal="center"/>
    </xf>
    <xf numFmtId="2" fontId="55" fillId="16" borderId="0" xfId="0" applyNumberFormat="1" applyFont="1" applyFill="1"/>
    <xf numFmtId="2" fontId="55" fillId="16" borderId="17" xfId="0" applyNumberFormat="1" applyFont="1" applyFill="1" applyBorder="1"/>
    <xf numFmtId="170" fontId="7" fillId="16" borderId="46" xfId="1" applyNumberFormat="1" applyFont="1" applyFill="1" applyBorder="1" applyAlignment="1" applyProtection="1">
      <alignment horizontal="right"/>
    </xf>
    <xf numFmtId="165" fontId="0" fillId="12" borderId="0" xfId="0" applyNumberFormat="1" applyFill="1" applyAlignment="1">
      <alignment horizontal="center"/>
    </xf>
    <xf numFmtId="165" fontId="0" fillId="6" borderId="0" xfId="0" applyNumberFormat="1" applyFill="1" applyAlignment="1">
      <alignment horizontal="center"/>
    </xf>
    <xf numFmtId="10" fontId="5" fillId="11" borderId="6" xfId="2" applyNumberFormat="1" applyFont="1" applyFill="1" applyBorder="1" applyAlignment="1" applyProtection="1">
      <alignment horizontal="center"/>
    </xf>
    <xf numFmtId="2" fontId="0" fillId="45" borderId="0" xfId="0" applyNumberFormat="1" applyFill="1"/>
    <xf numFmtId="2" fontId="17" fillId="45" borderId="0" xfId="0" applyNumberFormat="1" applyFont="1" applyFill="1"/>
    <xf numFmtId="166" fontId="17" fillId="6" borderId="0" xfId="0" applyNumberFormat="1" applyFont="1" applyFill="1"/>
    <xf numFmtId="2" fontId="7" fillId="22" borderId="0" xfId="0" applyNumberFormat="1" applyFont="1" applyFill="1" applyAlignment="1" applyProtection="1">
      <alignment horizontal="center"/>
      <protection locked="0"/>
    </xf>
    <xf numFmtId="173" fontId="8" fillId="22" borderId="0" xfId="0" applyNumberFormat="1" applyFont="1" applyFill="1" applyAlignment="1" applyProtection="1">
      <alignment horizontal="center"/>
      <protection locked="0"/>
    </xf>
    <xf numFmtId="10" fontId="8" fillId="22" borderId="33" xfId="0" applyNumberFormat="1" applyFont="1" applyFill="1" applyBorder="1" applyAlignment="1" applyProtection="1">
      <alignment horizontal="center"/>
      <protection locked="0"/>
    </xf>
    <xf numFmtId="170" fontId="0" fillId="25" borderId="0" xfId="1" applyNumberFormat="1" applyFont="1" applyFill="1" applyBorder="1" applyAlignment="1" applyProtection="1">
      <alignment horizontal="right"/>
      <protection locked="0"/>
    </xf>
    <xf numFmtId="2" fontId="64" fillId="25" borderId="17" xfId="0" applyNumberFormat="1" applyFont="1" applyFill="1" applyBorder="1" applyProtection="1">
      <protection locked="0"/>
    </xf>
    <xf numFmtId="170" fontId="0" fillId="25" borderId="46" xfId="1" applyNumberFormat="1" applyFont="1" applyFill="1" applyBorder="1" applyAlignment="1" applyProtection="1">
      <alignment horizontal="right"/>
      <protection locked="0"/>
    </xf>
    <xf numFmtId="2" fontId="64" fillId="25" borderId="6" xfId="0" applyNumberFormat="1" applyFont="1" applyFill="1" applyBorder="1" applyAlignment="1" applyProtection="1">
      <alignment horizontal="left"/>
      <protection locked="0"/>
    </xf>
    <xf numFmtId="2" fontId="64" fillId="25" borderId="68" xfId="0" applyNumberFormat="1" applyFont="1" applyFill="1" applyBorder="1" applyAlignment="1" applyProtection="1">
      <alignment horizontal="left"/>
      <protection locked="0"/>
    </xf>
    <xf numFmtId="2" fontId="14" fillId="3" borderId="0" xfId="0" applyNumberFormat="1" applyFont="1" applyFill="1" applyProtection="1">
      <protection locked="0"/>
    </xf>
    <xf numFmtId="2" fontId="14" fillId="26" borderId="0" xfId="0" applyNumberFormat="1" applyFont="1" applyFill="1" applyProtection="1">
      <protection locked="0"/>
    </xf>
    <xf numFmtId="4" fontId="15" fillId="24" borderId="22" xfId="0" applyNumberFormat="1" applyFont="1" applyFill="1" applyBorder="1" applyAlignment="1" applyProtection="1">
      <alignment horizontal="center"/>
      <protection locked="0"/>
    </xf>
    <xf numFmtId="4" fontId="15" fillId="24" borderId="38" xfId="0" applyNumberFormat="1" applyFont="1" applyFill="1" applyBorder="1" applyAlignment="1" applyProtection="1">
      <alignment horizontal="center"/>
      <protection locked="0"/>
    </xf>
    <xf numFmtId="2" fontId="15" fillId="25" borderId="23" xfId="0" applyNumberFormat="1" applyFont="1" applyFill="1" applyBorder="1" applyAlignment="1" applyProtection="1">
      <alignment horizontal="center"/>
      <protection locked="0"/>
    </xf>
    <xf numFmtId="2" fontId="15" fillId="22" borderId="65" xfId="0" applyNumberFormat="1" applyFont="1" applyFill="1" applyBorder="1" applyAlignment="1" applyProtection="1">
      <alignment horizontal="center"/>
      <protection locked="0"/>
    </xf>
    <xf numFmtId="173" fontId="15" fillId="24" borderId="0" xfId="0" applyNumberFormat="1" applyFont="1" applyFill="1" applyAlignment="1" applyProtection="1">
      <alignment horizontal="center"/>
      <protection locked="0"/>
    </xf>
    <xf numFmtId="3" fontId="15" fillId="27" borderId="0" xfId="0" applyNumberFormat="1" applyFont="1" applyFill="1" applyAlignment="1" applyProtection="1">
      <alignment horizontal="center"/>
      <protection locked="0"/>
    </xf>
    <xf numFmtId="2" fontId="17" fillId="25" borderId="55" xfId="0" quotePrefix="1" applyNumberFormat="1" applyFont="1" applyFill="1" applyBorder="1" applyProtection="1">
      <protection locked="0"/>
    </xf>
    <xf numFmtId="2" fontId="0" fillId="25" borderId="55" xfId="0" applyNumberFormat="1" applyFill="1" applyBorder="1" applyProtection="1">
      <protection locked="0"/>
    </xf>
    <xf numFmtId="166" fontId="0" fillId="25" borderId="53" xfId="0" applyNumberFormat="1" applyFill="1" applyBorder="1" applyProtection="1">
      <protection locked="0"/>
    </xf>
    <xf numFmtId="167" fontId="35" fillId="22" borderId="30" xfId="0" applyNumberFormat="1" applyFont="1" applyFill="1" applyBorder="1" applyAlignment="1" applyProtection="1">
      <alignment horizontal="center"/>
      <protection locked="0"/>
    </xf>
    <xf numFmtId="167" fontId="35" fillId="22" borderId="25" xfId="0" applyNumberFormat="1" applyFont="1" applyFill="1" applyBorder="1" applyAlignment="1" applyProtection="1">
      <alignment horizontal="center"/>
      <protection locked="0"/>
    </xf>
    <xf numFmtId="2" fontId="7" fillId="25" borderId="0" xfId="0" applyNumberFormat="1" applyFont="1" applyFill="1" applyAlignment="1" applyProtection="1">
      <alignment horizontal="center"/>
      <protection locked="0"/>
    </xf>
    <xf numFmtId="2" fontId="17" fillId="25" borderId="55" xfId="0" applyNumberFormat="1" applyFont="1" applyFill="1" applyBorder="1" applyAlignment="1" applyProtection="1">
      <alignment horizontal="left"/>
      <protection locked="0"/>
    </xf>
    <xf numFmtId="2" fontId="7" fillId="25" borderId="15" xfId="0" applyNumberFormat="1" applyFont="1" applyFill="1" applyBorder="1" applyAlignment="1" applyProtection="1">
      <alignment horizontal="center"/>
      <protection locked="0"/>
    </xf>
    <xf numFmtId="175" fontId="0" fillId="22" borderId="54" xfId="0" applyNumberFormat="1" applyFill="1" applyBorder="1" applyAlignment="1" applyProtection="1">
      <alignment horizontal="center"/>
      <protection locked="0"/>
    </xf>
    <xf numFmtId="175" fontId="0" fillId="22" borderId="55" xfId="0" applyNumberFormat="1" applyFill="1" applyBorder="1" applyAlignment="1" applyProtection="1">
      <alignment horizontal="center"/>
      <protection locked="0"/>
    </xf>
    <xf numFmtId="2" fontId="15" fillId="25" borderId="0" xfId="0" applyNumberFormat="1" applyFont="1" applyFill="1" applyAlignment="1" applyProtection="1">
      <alignment horizontal="center"/>
      <protection locked="0"/>
    </xf>
    <xf numFmtId="10" fontId="15" fillId="25" borderId="0" xfId="0" applyNumberFormat="1" applyFont="1" applyFill="1" applyProtection="1">
      <protection locked="0"/>
    </xf>
    <xf numFmtId="167" fontId="75" fillId="47" borderId="38" xfId="0" applyNumberFormat="1" applyFont="1" applyFill="1" applyBorder="1" applyAlignment="1">
      <alignment horizontal="center"/>
    </xf>
    <xf numFmtId="2" fontId="65" fillId="23" borderId="0" xfId="0" applyNumberFormat="1" applyFont="1" applyFill="1" applyAlignment="1">
      <alignment horizontal="right"/>
    </xf>
    <xf numFmtId="2" fontId="40" fillId="30" borderId="58" xfId="0" applyNumberFormat="1" applyFont="1" applyFill="1" applyBorder="1" applyAlignment="1">
      <alignment horizontal="right"/>
    </xf>
    <xf numFmtId="10" fontId="0" fillId="26" borderId="0" xfId="0" applyNumberFormat="1" applyFill="1" applyAlignment="1" applyProtection="1">
      <alignment horizontal="center"/>
      <protection locked="0"/>
    </xf>
    <xf numFmtId="168" fontId="11" fillId="26" borderId="19" xfId="0" applyNumberFormat="1" applyFont="1" applyFill="1" applyBorder="1" applyAlignment="1" applyProtection="1">
      <alignment horizontal="left"/>
      <protection locked="0"/>
    </xf>
    <xf numFmtId="168" fontId="0" fillId="26" borderId="20" xfId="0" applyNumberFormat="1" applyFill="1" applyBorder="1" applyAlignment="1" applyProtection="1">
      <alignment horizontal="left"/>
      <protection locked="0"/>
    </xf>
    <xf numFmtId="2" fontId="9" fillId="8" borderId="26" xfId="0" applyNumberFormat="1" applyFont="1" applyFill="1" applyBorder="1"/>
    <xf numFmtId="2" fontId="0" fillId="8" borderId="27" xfId="0" applyNumberFormat="1" applyFill="1" applyBorder="1"/>
    <xf numFmtId="2" fontId="15" fillId="28" borderId="60" xfId="0" applyNumberFormat="1" applyFont="1" applyFill="1" applyBorder="1" applyAlignment="1">
      <alignment horizontal="center"/>
    </xf>
    <xf numFmtId="166" fontId="76" fillId="45" borderId="0" xfId="0" applyNumberFormat="1" applyFont="1" applyFill="1" applyAlignment="1">
      <alignment horizontal="center"/>
    </xf>
    <xf numFmtId="166" fontId="0" fillId="19" borderId="17" xfId="0" applyNumberFormat="1" applyFill="1" applyBorder="1" applyAlignment="1">
      <alignment horizontal="center"/>
    </xf>
    <xf numFmtId="2" fontId="0" fillId="6" borderId="0" xfId="0" applyNumberFormat="1" applyFill="1" applyAlignment="1">
      <alignment horizontal="right"/>
    </xf>
    <xf numFmtId="2" fontId="36" fillId="18" borderId="0" xfId="0" applyNumberFormat="1" applyFont="1" applyFill="1"/>
    <xf numFmtId="2" fontId="36" fillId="45" borderId="0" xfId="0" applyNumberFormat="1" applyFont="1" applyFill="1" applyAlignment="1" applyProtection="1">
      <alignment horizontal="center"/>
      <protection locked="0"/>
    </xf>
    <xf numFmtId="2" fontId="36" fillId="42" borderId="64" xfId="0" applyNumberFormat="1" applyFont="1" applyFill="1" applyBorder="1" applyAlignment="1">
      <alignment horizontal="center"/>
    </xf>
    <xf numFmtId="2" fontId="12" fillId="18" borderId="71" xfId="0" applyNumberFormat="1" applyFont="1" applyFill="1" applyBorder="1"/>
    <xf numFmtId="2" fontId="0" fillId="18" borderId="4" xfId="0" applyNumberFormat="1" applyFill="1" applyBorder="1"/>
    <xf numFmtId="2" fontId="0" fillId="18" borderId="72" xfId="0" applyNumberFormat="1" applyFill="1" applyBorder="1"/>
    <xf numFmtId="2" fontId="36" fillId="18" borderId="32" xfId="0" applyNumberFormat="1" applyFont="1" applyFill="1" applyBorder="1"/>
    <xf numFmtId="2" fontId="8" fillId="18" borderId="71" xfId="0" applyNumberFormat="1" applyFont="1" applyFill="1" applyBorder="1" applyAlignment="1">
      <alignment horizontal="left"/>
    </xf>
    <xf numFmtId="2" fontId="9" fillId="18" borderId="71" xfId="0" applyNumberFormat="1" applyFont="1" applyFill="1" applyBorder="1"/>
    <xf numFmtId="2" fontId="0" fillId="18" borderId="21" xfId="0" applyNumberFormat="1" applyFill="1" applyBorder="1"/>
    <xf numFmtId="2" fontId="15" fillId="46" borderId="18" xfId="0" applyNumberFormat="1" applyFont="1" applyFill="1" applyBorder="1"/>
    <xf numFmtId="2" fontId="0" fillId="46" borderId="25" xfId="0" applyNumberFormat="1" applyFill="1" applyBorder="1"/>
    <xf numFmtId="2" fontId="1" fillId="42" borderId="73" xfId="0" applyNumberFormat="1" applyFont="1" applyFill="1" applyBorder="1"/>
    <xf numFmtId="2" fontId="78" fillId="45" borderId="0" xfId="0" applyNumberFormat="1" applyFont="1" applyFill="1" applyAlignment="1" applyProtection="1">
      <alignment horizontal="center"/>
      <protection locked="0"/>
    </xf>
    <xf numFmtId="2" fontId="40" fillId="19" borderId="0" xfId="0" quotePrefix="1" applyNumberFormat="1" applyFont="1" applyFill="1" applyAlignment="1">
      <alignment horizontal="center"/>
    </xf>
    <xf numFmtId="2" fontId="1" fillId="18" borderId="0" xfId="0" applyNumberFormat="1" applyFont="1" applyFill="1" applyAlignment="1">
      <alignment horizontal="right"/>
    </xf>
    <xf numFmtId="2" fontId="1" fillId="18" borderId="72" xfId="0" applyNumberFormat="1" applyFont="1" applyFill="1" applyBorder="1" applyAlignment="1">
      <alignment horizontal="right"/>
    </xf>
    <xf numFmtId="2" fontId="0" fillId="18" borderId="71" xfId="0" quotePrefix="1" applyNumberFormat="1" applyFill="1" applyBorder="1"/>
    <xf numFmtId="2" fontId="9" fillId="18" borderId="26" xfId="0" applyNumberFormat="1" applyFont="1" applyFill="1" applyBorder="1"/>
    <xf numFmtId="2" fontId="9" fillId="18" borderId="26" xfId="0" applyNumberFormat="1" applyFont="1" applyFill="1" applyBorder="1" applyAlignment="1">
      <alignment horizontal="right"/>
    </xf>
    <xf numFmtId="165" fontId="0" fillId="18" borderId="28" xfId="0" applyNumberFormat="1" applyFill="1" applyBorder="1"/>
    <xf numFmtId="2" fontId="1" fillId="18" borderId="32" xfId="0" applyNumberFormat="1" applyFont="1" applyFill="1" applyBorder="1"/>
    <xf numFmtId="168" fontId="8" fillId="19" borderId="0" xfId="0" applyNumberFormat="1" applyFont="1" applyFill="1"/>
    <xf numFmtId="2" fontId="0" fillId="18" borderId="19" xfId="0" applyNumberFormat="1" applyFill="1" applyBorder="1"/>
    <xf numFmtId="168" fontId="75" fillId="19" borderId="20" xfId="0" applyNumberFormat="1" applyFont="1" applyFill="1" applyBorder="1"/>
    <xf numFmtId="168" fontId="1" fillId="16" borderId="0" xfId="0" quotePrefix="1" applyNumberFormat="1" applyFont="1" applyFill="1"/>
    <xf numFmtId="2" fontId="1" fillId="6" borderId="0" xfId="0" applyNumberFormat="1" applyFont="1" applyFill="1"/>
    <xf numFmtId="2" fontId="0" fillId="43" borderId="26" xfId="0" applyNumberFormat="1" applyFill="1" applyBorder="1"/>
    <xf numFmtId="2" fontId="0" fillId="43" borderId="27" xfId="0" applyNumberFormat="1" applyFill="1" applyBorder="1"/>
    <xf numFmtId="2" fontId="15" fillId="43" borderId="27" xfId="0" applyNumberFormat="1" applyFont="1" applyFill="1" applyBorder="1" applyAlignment="1">
      <alignment horizontal="center"/>
    </xf>
    <xf numFmtId="2" fontId="9" fillId="43" borderId="26" xfId="0" applyNumberFormat="1" applyFont="1" applyFill="1" applyBorder="1"/>
    <xf numFmtId="2" fontId="9" fillId="43" borderId="26" xfId="0" applyNumberFormat="1" applyFont="1" applyFill="1" applyBorder="1" applyAlignment="1">
      <alignment horizontal="right"/>
    </xf>
    <xf numFmtId="2" fontId="1" fillId="43" borderId="71" xfId="0" quotePrefix="1" applyNumberFormat="1" applyFont="1" applyFill="1" applyBorder="1"/>
    <xf numFmtId="2" fontId="1" fillId="43" borderId="0" xfId="0" applyNumberFormat="1" applyFont="1" applyFill="1"/>
    <xf numFmtId="2" fontId="36" fillId="43" borderId="0" xfId="0" applyNumberFormat="1" applyFont="1" applyFill="1"/>
    <xf numFmtId="2" fontId="36" fillId="43" borderId="32" xfId="0" applyNumberFormat="1" applyFont="1" applyFill="1" applyBorder="1"/>
    <xf numFmtId="2" fontId="0" fillId="43" borderId="28" xfId="0" applyNumberFormat="1" applyFill="1" applyBorder="1"/>
    <xf numFmtId="165" fontId="0" fillId="43" borderId="28" xfId="0" applyNumberFormat="1" applyFill="1" applyBorder="1"/>
    <xf numFmtId="2" fontId="77" fillId="18" borderId="32" xfId="0" applyNumberFormat="1" applyFont="1" applyFill="1" applyBorder="1"/>
    <xf numFmtId="2" fontId="12" fillId="43" borderId="71" xfId="0" applyNumberFormat="1" applyFont="1" applyFill="1" applyBorder="1"/>
    <xf numFmtId="2" fontId="1" fillId="43" borderId="0" xfId="0" applyNumberFormat="1" applyFont="1" applyFill="1" applyAlignment="1">
      <alignment horizontal="right"/>
    </xf>
    <xf numFmtId="2" fontId="0" fillId="43" borderId="4" xfId="0" applyNumberFormat="1" applyFill="1" applyBorder="1"/>
    <xf numFmtId="2" fontId="1" fillId="43" borderId="72" xfId="0" applyNumberFormat="1" applyFont="1" applyFill="1" applyBorder="1" applyAlignment="1">
      <alignment horizontal="right"/>
    </xf>
    <xf numFmtId="2" fontId="0" fillId="43" borderId="72" xfId="0" applyNumberFormat="1" applyFill="1" applyBorder="1"/>
    <xf numFmtId="2" fontId="77" fillId="43" borderId="0" xfId="0" applyNumberFormat="1" applyFont="1" applyFill="1"/>
    <xf numFmtId="2" fontId="77" fillId="43" borderId="72" xfId="0" applyNumberFormat="1" applyFont="1" applyFill="1" applyBorder="1"/>
    <xf numFmtId="2" fontId="15" fillId="43" borderId="71" xfId="0" applyNumberFormat="1" applyFont="1" applyFill="1" applyBorder="1" applyAlignment="1">
      <alignment horizontal="left"/>
    </xf>
    <xf numFmtId="2" fontId="9" fillId="43" borderId="71" xfId="0" applyNumberFormat="1" applyFont="1" applyFill="1" applyBorder="1"/>
    <xf numFmtId="2" fontId="12" fillId="43" borderId="0" xfId="0" applyNumberFormat="1" applyFont="1" applyFill="1" applyAlignment="1">
      <alignment horizontal="right"/>
    </xf>
    <xf numFmtId="167" fontId="78" fillId="45" borderId="0" xfId="1" applyNumberFormat="1" applyFont="1" applyFill="1" applyBorder="1" applyAlignment="1" applyProtection="1">
      <alignment horizontal="center"/>
      <protection locked="0"/>
    </xf>
    <xf numFmtId="167" fontId="36" fillId="45" borderId="0" xfId="1" applyNumberFormat="1" applyFont="1" applyFill="1" applyBorder="1" applyAlignment="1" applyProtection="1">
      <alignment horizontal="center"/>
      <protection locked="0"/>
    </xf>
    <xf numFmtId="175" fontId="78" fillId="45" borderId="0" xfId="1" applyNumberFormat="1" applyFont="1" applyFill="1" applyBorder="1" applyAlignment="1" applyProtection="1">
      <alignment horizontal="center"/>
      <protection locked="0"/>
    </xf>
    <xf numFmtId="175" fontId="36" fillId="45" borderId="0" xfId="1" applyNumberFormat="1" applyFont="1" applyFill="1" applyBorder="1" applyAlignment="1" applyProtection="1">
      <alignment horizontal="center"/>
      <protection locked="0"/>
    </xf>
    <xf numFmtId="173" fontId="0" fillId="16" borderId="0" xfId="2" applyNumberFormat="1" applyFont="1" applyFill="1"/>
    <xf numFmtId="167" fontId="84" fillId="50" borderId="36" xfId="0" applyNumberFormat="1" applyFont="1" applyFill="1" applyBorder="1" applyAlignment="1">
      <alignment horizontal="center"/>
    </xf>
    <xf numFmtId="167" fontId="84" fillId="50" borderId="22" xfId="0" applyNumberFormat="1" applyFont="1" applyFill="1" applyBorder="1" applyAlignment="1">
      <alignment horizontal="center"/>
    </xf>
    <xf numFmtId="167" fontId="84" fillId="50" borderId="38" xfId="0" applyNumberFormat="1" applyFont="1" applyFill="1" applyBorder="1" applyAlignment="1">
      <alignment horizontal="center"/>
    </xf>
    <xf numFmtId="168" fontId="84" fillId="50" borderId="0" xfId="0" applyNumberFormat="1" applyFont="1" applyFill="1"/>
    <xf numFmtId="168" fontId="84" fillId="50" borderId="20" xfId="0" applyNumberFormat="1" applyFont="1" applyFill="1" applyBorder="1"/>
    <xf numFmtId="2" fontId="85" fillId="50" borderId="0" xfId="0" quotePrefix="1" applyNumberFormat="1" applyFont="1" applyFill="1" applyAlignment="1">
      <alignment horizontal="center"/>
    </xf>
    <xf numFmtId="167" fontId="85" fillId="50" borderId="6" xfId="0" applyNumberFormat="1" applyFont="1" applyFill="1" applyBorder="1" applyAlignment="1">
      <alignment horizontal="center"/>
    </xf>
    <xf numFmtId="2" fontId="36" fillId="48" borderId="0" xfId="0" applyNumberFormat="1" applyFont="1" applyFill="1" applyAlignment="1" applyProtection="1">
      <alignment horizontal="center"/>
      <protection locked="0"/>
    </xf>
    <xf numFmtId="2" fontId="78" fillId="48" borderId="0" xfId="0" applyNumberFormat="1" applyFont="1" applyFill="1" applyAlignment="1" applyProtection="1">
      <alignment horizontal="center"/>
      <protection locked="0"/>
    </xf>
    <xf numFmtId="167" fontId="78" fillId="48" borderId="0" xfId="1" applyNumberFormat="1" applyFont="1" applyFill="1" applyBorder="1" applyAlignment="1" applyProtection="1">
      <alignment horizontal="center"/>
      <protection locked="0"/>
    </xf>
    <xf numFmtId="167" fontId="36" fillId="48" borderId="0" xfId="1" applyNumberFormat="1" applyFont="1" applyFill="1" applyBorder="1" applyAlignment="1" applyProtection="1">
      <alignment horizontal="center"/>
      <protection locked="0"/>
    </xf>
    <xf numFmtId="175" fontId="65" fillId="19" borderId="0" xfId="1" applyNumberFormat="1" applyFont="1" applyFill="1" applyBorder="1" applyAlignment="1" applyProtection="1">
      <alignment horizontal="center"/>
    </xf>
    <xf numFmtId="39" fontId="84" fillId="50" borderId="0" xfId="1" applyNumberFormat="1" applyFont="1" applyFill="1" applyBorder="1" applyAlignment="1" applyProtection="1">
      <alignment horizontal="center"/>
    </xf>
    <xf numFmtId="10" fontId="69" fillId="50" borderId="0" xfId="0" applyNumberFormat="1" applyFont="1" applyFill="1" applyAlignment="1">
      <alignment horizontal="center"/>
    </xf>
    <xf numFmtId="165" fontId="1" fillId="25" borderId="55" xfId="0" applyNumberFormat="1" applyFont="1" applyFill="1" applyBorder="1" applyProtection="1">
      <protection locked="0"/>
    </xf>
    <xf numFmtId="167" fontId="0" fillId="25" borderId="55" xfId="0" applyNumberFormat="1" applyFill="1" applyBorder="1" applyProtection="1">
      <protection locked="0"/>
    </xf>
    <xf numFmtId="169" fontId="8" fillId="19" borderId="0" xfId="0" applyNumberFormat="1" applyFont="1" applyFill="1"/>
    <xf numFmtId="2" fontId="15" fillId="18" borderId="15" xfId="0" applyNumberFormat="1" applyFont="1" applyFill="1" applyBorder="1" applyAlignment="1">
      <alignment horizontal="center"/>
    </xf>
    <xf numFmtId="2" fontId="53" fillId="18" borderId="15" xfId="0" applyNumberFormat="1" applyFont="1" applyFill="1" applyBorder="1"/>
    <xf numFmtId="2" fontId="8" fillId="18" borderId="19" xfId="0" quotePrefix="1" applyNumberFormat="1" applyFont="1" applyFill="1" applyBorder="1"/>
    <xf numFmtId="2" fontId="16" fillId="18" borderId="20" xfId="0" applyNumberFormat="1" applyFont="1" applyFill="1" applyBorder="1"/>
    <xf numFmtId="166" fontId="15" fillId="19" borderId="72" xfId="0" applyNumberFormat="1" applyFont="1" applyFill="1" applyBorder="1" applyAlignment="1">
      <alignment horizontal="center"/>
    </xf>
    <xf numFmtId="2" fontId="15" fillId="19" borderId="71" xfId="0" applyNumberFormat="1" applyFont="1" applyFill="1" applyBorder="1" applyAlignment="1">
      <alignment horizontal="center"/>
    </xf>
    <xf numFmtId="168" fontId="88" fillId="19" borderId="38" xfId="0" applyNumberFormat="1" applyFont="1" applyFill="1" applyBorder="1" applyAlignment="1">
      <alignment horizontal="center"/>
    </xf>
    <xf numFmtId="0" fontId="17" fillId="23" borderId="0" xfId="0" applyFont="1" applyFill="1"/>
    <xf numFmtId="2" fontId="15" fillId="23" borderId="0" xfId="0" applyNumberFormat="1" applyFont="1" applyFill="1" applyAlignment="1">
      <alignment horizontal="center"/>
    </xf>
    <xf numFmtId="2" fontId="73" fillId="23" borderId="0" xfId="0" applyNumberFormat="1" applyFont="1" applyFill="1" applyAlignment="1">
      <alignment horizontal="left"/>
    </xf>
    <xf numFmtId="2" fontId="17" fillId="23" borderId="21" xfId="0" applyNumberFormat="1" applyFont="1" applyFill="1" applyBorder="1" applyAlignment="1">
      <alignment horizontal="right"/>
    </xf>
    <xf numFmtId="171" fontId="8" fillId="19" borderId="15" xfId="1" applyNumberFormat="1" applyFont="1" applyFill="1" applyBorder="1" applyProtection="1"/>
    <xf numFmtId="0" fontId="17" fillId="23" borderId="18" xfId="0" applyFont="1" applyFill="1" applyBorder="1"/>
    <xf numFmtId="2" fontId="73" fillId="23" borderId="20" xfId="0" applyNumberFormat="1" applyFont="1" applyFill="1" applyBorder="1" applyAlignment="1">
      <alignment horizontal="left"/>
    </xf>
    <xf numFmtId="2" fontId="8" fillId="23" borderId="0" xfId="0" applyNumberFormat="1" applyFont="1" applyFill="1" applyAlignment="1">
      <alignment horizontal="right"/>
    </xf>
    <xf numFmtId="166" fontId="8" fillId="19" borderId="72" xfId="0" applyNumberFormat="1" applyFont="1" applyFill="1" applyBorder="1" applyAlignment="1">
      <alignment horizontal="center"/>
    </xf>
    <xf numFmtId="167" fontId="8" fillId="19" borderId="71" xfId="0" applyNumberFormat="1" applyFont="1" applyFill="1" applyBorder="1" applyAlignment="1">
      <alignment horizontal="center"/>
    </xf>
    <xf numFmtId="167" fontId="88" fillId="19" borderId="73" xfId="0" applyNumberFormat="1" applyFont="1" applyFill="1" applyBorder="1" applyAlignment="1">
      <alignment horizontal="center"/>
    </xf>
    <xf numFmtId="2" fontId="1" fillId="23" borderId="0" xfId="0" applyNumberFormat="1" applyFont="1" applyFill="1" applyAlignment="1">
      <alignment horizontal="right"/>
    </xf>
    <xf numFmtId="2" fontId="1" fillId="23" borderId="20" xfId="0" applyNumberFormat="1" applyFont="1" applyFill="1" applyBorder="1" applyAlignment="1">
      <alignment horizontal="right"/>
    </xf>
    <xf numFmtId="168" fontId="88" fillId="19" borderId="33" xfId="0" applyNumberFormat="1" applyFont="1" applyFill="1" applyBorder="1" applyAlignment="1">
      <alignment horizontal="center"/>
    </xf>
    <xf numFmtId="172" fontId="8" fillId="19" borderId="0" xfId="1" applyNumberFormat="1" applyFont="1" applyFill="1" applyBorder="1" applyProtection="1"/>
    <xf numFmtId="1" fontId="0" fillId="51" borderId="0" xfId="0" applyNumberFormat="1" applyFill="1" applyAlignment="1">
      <alignment horizontal="center"/>
    </xf>
    <xf numFmtId="2" fontId="0" fillId="51" borderId="0" xfId="0" applyNumberFormat="1" applyFill="1"/>
    <xf numFmtId="2" fontId="15" fillId="51" borderId="0" xfId="0" applyNumberFormat="1" applyFont="1" applyFill="1"/>
    <xf numFmtId="2" fontId="8" fillId="51" borderId="21" xfId="0" applyNumberFormat="1" applyFont="1" applyFill="1" applyBorder="1"/>
    <xf numFmtId="2" fontId="8" fillId="51" borderId="15" xfId="0" applyNumberFormat="1" applyFont="1" applyFill="1" applyBorder="1"/>
    <xf numFmtId="2" fontId="7" fillId="51" borderId="15" xfId="0" applyNumberFormat="1" applyFont="1" applyFill="1" applyBorder="1"/>
    <xf numFmtId="2" fontId="0" fillId="51" borderId="15" xfId="0" applyNumberFormat="1" applyFill="1" applyBorder="1"/>
    <xf numFmtId="2" fontId="0" fillId="51" borderId="16" xfId="0" applyNumberFormat="1" applyFill="1" applyBorder="1"/>
    <xf numFmtId="2" fontId="7" fillId="51" borderId="18" xfId="0" applyNumberFormat="1" applyFont="1" applyFill="1" applyBorder="1"/>
    <xf numFmtId="2" fontId="8" fillId="51" borderId="0" xfId="0" applyNumberFormat="1" applyFont="1" applyFill="1"/>
    <xf numFmtId="2" fontId="0" fillId="51" borderId="17" xfId="0" applyNumberFormat="1" applyFill="1" applyBorder="1"/>
    <xf numFmtId="2" fontId="8" fillId="51" borderId="18" xfId="0" applyNumberFormat="1" applyFont="1" applyFill="1" applyBorder="1"/>
    <xf numFmtId="173" fontId="8" fillId="51" borderId="0" xfId="0" applyNumberFormat="1" applyFont="1" applyFill="1" applyAlignment="1">
      <alignment horizontal="center"/>
    </xf>
    <xf numFmtId="2" fontId="11" fillId="51" borderId="0" xfId="0" applyNumberFormat="1" applyFont="1" applyFill="1"/>
    <xf numFmtId="2" fontId="10" fillId="51" borderId="18" xfId="0" applyNumberFormat="1" applyFont="1" applyFill="1" applyBorder="1"/>
    <xf numFmtId="2" fontId="0" fillId="51" borderId="0" xfId="0" applyNumberFormat="1" applyFill="1" applyAlignment="1">
      <alignment horizontal="center"/>
    </xf>
    <xf numFmtId="2" fontId="0" fillId="51" borderId="0" xfId="0" quotePrefix="1" applyNumberFormat="1" applyFill="1"/>
    <xf numFmtId="2" fontId="0" fillId="51" borderId="18" xfId="0" applyNumberFormat="1" applyFill="1" applyBorder="1"/>
    <xf numFmtId="2" fontId="0" fillId="51" borderId="0" xfId="0" applyNumberFormat="1" applyFill="1" applyAlignment="1">
      <alignment horizontal="right"/>
    </xf>
    <xf numFmtId="2" fontId="0" fillId="51" borderId="0" xfId="0" applyNumberFormat="1" applyFill="1" applyAlignment="1">
      <alignment horizontal="left"/>
    </xf>
    <xf numFmtId="2" fontId="40" fillId="51" borderId="0" xfId="0" applyNumberFormat="1" applyFont="1" applyFill="1" applyAlignment="1">
      <alignment horizontal="right"/>
    </xf>
    <xf numFmtId="2" fontId="8" fillId="51" borderId="18" xfId="0" applyNumberFormat="1" applyFont="1" applyFill="1" applyBorder="1" applyAlignment="1">
      <alignment horizontal="right"/>
    </xf>
    <xf numFmtId="2" fontId="16" fillId="51" borderId="0" xfId="0" applyNumberFormat="1" applyFont="1" applyFill="1" applyAlignment="1">
      <alignment horizontal="right"/>
    </xf>
    <xf numFmtId="2" fontId="8" fillId="51" borderId="19" xfId="0" applyNumberFormat="1" applyFont="1" applyFill="1" applyBorder="1" applyAlignment="1">
      <alignment horizontal="right"/>
    </xf>
    <xf numFmtId="2" fontId="11" fillId="51" borderId="20" xfId="0" applyNumberFormat="1" applyFont="1" applyFill="1" applyBorder="1" applyAlignment="1">
      <alignment horizontal="right"/>
    </xf>
    <xf numFmtId="2" fontId="0" fillId="51" borderId="20" xfId="0" applyNumberFormat="1" applyFill="1" applyBorder="1"/>
    <xf numFmtId="2" fontId="0" fillId="51" borderId="20" xfId="0" applyNumberFormat="1" applyFill="1" applyBorder="1" applyAlignment="1">
      <alignment horizontal="left"/>
    </xf>
    <xf numFmtId="2" fontId="0" fillId="51" borderId="25" xfId="0" applyNumberFormat="1" applyFill="1" applyBorder="1"/>
    <xf numFmtId="2" fontId="55" fillId="51" borderId="0" xfId="0" applyNumberFormat="1" applyFont="1" applyFill="1" applyAlignment="1">
      <alignment horizontal="right"/>
    </xf>
    <xf numFmtId="2" fontId="53" fillId="51" borderId="0" xfId="0" applyNumberFormat="1" applyFont="1" applyFill="1"/>
    <xf numFmtId="2" fontId="56" fillId="51" borderId="0" xfId="0" applyNumberFormat="1" applyFont="1" applyFill="1"/>
    <xf numFmtId="2" fontId="53" fillId="51" borderId="0" xfId="0" applyNumberFormat="1" applyFont="1" applyFill="1" applyAlignment="1">
      <alignment horizontal="left"/>
    </xf>
    <xf numFmtId="2" fontId="17" fillId="51" borderId="0" xfId="0" applyNumberFormat="1" applyFont="1" applyFill="1" applyAlignment="1">
      <alignment horizontal="left"/>
    </xf>
    <xf numFmtId="2" fontId="7" fillId="51" borderId="0" xfId="0" quotePrefix="1" applyNumberFormat="1" applyFont="1" applyFill="1" applyAlignment="1">
      <alignment horizontal="left"/>
    </xf>
    <xf numFmtId="2" fontId="9" fillId="51" borderId="40" xfId="0" applyNumberFormat="1" applyFont="1" applyFill="1" applyBorder="1"/>
    <xf numFmtId="2" fontId="0" fillId="51" borderId="45" xfId="0" applyNumberFormat="1" applyFill="1" applyBorder="1"/>
    <xf numFmtId="2" fontId="0" fillId="51" borderId="41" xfId="0" applyNumberFormat="1" applyFill="1" applyBorder="1"/>
    <xf numFmtId="4" fontId="58" fillId="51" borderId="0" xfId="0" applyNumberFormat="1" applyFont="1" applyFill="1" applyAlignment="1">
      <alignment horizontal="center"/>
    </xf>
    <xf numFmtId="2" fontId="7" fillId="51" borderId="0" xfId="0" applyNumberFormat="1" applyFont="1" applyFill="1"/>
    <xf numFmtId="2" fontId="11" fillId="51" borderId="0" xfId="0" applyNumberFormat="1" applyFont="1" applyFill="1" applyAlignment="1">
      <alignment horizontal="right"/>
    </xf>
    <xf numFmtId="2" fontId="7" fillId="51" borderId="0" xfId="0" applyNumberFormat="1" applyFont="1" applyFill="1" applyAlignment="1">
      <alignment horizontal="right"/>
    </xf>
    <xf numFmtId="2" fontId="11" fillId="51" borderId="18" xfId="0" applyNumberFormat="1" applyFont="1" applyFill="1" applyBorder="1"/>
    <xf numFmtId="2" fontId="10" fillId="51" borderId="0" xfId="0" applyNumberFormat="1" applyFont="1" applyFill="1" applyAlignment="1">
      <alignment horizontal="right"/>
    </xf>
    <xf numFmtId="2" fontId="4" fillId="51" borderId="18" xfId="0" applyNumberFormat="1" applyFont="1" applyFill="1" applyBorder="1"/>
    <xf numFmtId="166" fontId="0" fillId="51" borderId="0" xfId="0" applyNumberFormat="1" applyFill="1"/>
    <xf numFmtId="2" fontId="8" fillId="51" borderId="0" xfId="0" applyNumberFormat="1" applyFont="1" applyFill="1" applyAlignment="1">
      <alignment horizontal="right"/>
    </xf>
    <xf numFmtId="2" fontId="36" fillId="51" borderId="19" xfId="0" applyNumberFormat="1" applyFont="1" applyFill="1" applyBorder="1"/>
    <xf numFmtId="2" fontId="36" fillId="51" borderId="20" xfId="0" applyNumberFormat="1" applyFont="1" applyFill="1" applyBorder="1" applyAlignment="1">
      <alignment horizontal="right"/>
    </xf>
    <xf numFmtId="2" fontId="7" fillId="51" borderId="20" xfId="0" applyNumberFormat="1" applyFont="1" applyFill="1" applyBorder="1" applyAlignment="1">
      <alignment horizontal="left"/>
    </xf>
    <xf numFmtId="10" fontId="6" fillId="51" borderId="41" xfId="0" applyNumberFormat="1" applyFont="1" applyFill="1" applyBorder="1" applyAlignment="1">
      <alignment horizontal="center"/>
    </xf>
    <xf numFmtId="2" fontId="0" fillId="51" borderId="39" xfId="0" applyNumberFormat="1" applyFill="1" applyBorder="1"/>
    <xf numFmtId="2" fontId="0" fillId="51" borderId="18" xfId="0" applyNumberFormat="1" applyFill="1" applyBorder="1" applyAlignment="1">
      <alignment horizontal="right"/>
    </xf>
    <xf numFmtId="2" fontId="16" fillId="51" borderId="0" xfId="0" applyNumberFormat="1" applyFont="1" applyFill="1"/>
    <xf numFmtId="4" fontId="5" fillId="51" borderId="0" xfId="0" applyNumberFormat="1" applyFont="1" applyFill="1" applyAlignment="1">
      <alignment horizontal="center"/>
    </xf>
    <xf numFmtId="4" fontId="0" fillId="51" borderId="0" xfId="0" applyNumberFormat="1" applyFill="1" applyAlignment="1">
      <alignment horizontal="center"/>
    </xf>
    <xf numFmtId="2" fontId="10" fillId="51" borderId="0" xfId="0" applyNumberFormat="1" applyFont="1" applyFill="1"/>
    <xf numFmtId="0" fontId="0" fillId="51" borderId="0" xfId="0" applyFill="1"/>
    <xf numFmtId="2" fontId="0" fillId="51" borderId="19" xfId="0" applyNumberFormat="1" applyFill="1" applyBorder="1" applyAlignment="1">
      <alignment horizontal="right"/>
    </xf>
    <xf numFmtId="2" fontId="7" fillId="51" borderId="20" xfId="0" applyNumberFormat="1" applyFont="1" applyFill="1" applyBorder="1"/>
    <xf numFmtId="2" fontId="7" fillId="51" borderId="41" xfId="0" applyNumberFormat="1" applyFont="1" applyFill="1" applyBorder="1"/>
    <xf numFmtId="2" fontId="8" fillId="51" borderId="42" xfId="0" applyNumberFormat="1" applyFont="1" applyFill="1" applyBorder="1"/>
    <xf numFmtId="2" fontId="7" fillId="51" borderId="39" xfId="0" applyNumberFormat="1" applyFont="1" applyFill="1" applyBorder="1"/>
    <xf numFmtId="2" fontId="15" fillId="51" borderId="40" xfId="0" applyNumberFormat="1" applyFont="1" applyFill="1" applyBorder="1"/>
    <xf numFmtId="2" fontId="0" fillId="51" borderId="60" xfId="0" applyNumberFormat="1" applyFill="1" applyBorder="1" applyAlignment="1">
      <alignment horizontal="center"/>
    </xf>
    <xf numFmtId="2" fontId="8" fillId="51" borderId="18" xfId="0" applyNumberFormat="1" applyFont="1" applyFill="1" applyBorder="1" applyAlignment="1">
      <alignment horizontal="left"/>
    </xf>
    <xf numFmtId="2" fontId="8" fillId="51" borderId="13" xfId="0" applyNumberFormat="1" applyFont="1" applyFill="1" applyBorder="1" applyAlignment="1">
      <alignment horizontal="center"/>
    </xf>
    <xf numFmtId="2" fontId="53" fillId="51" borderId="17" xfId="0" applyNumberFormat="1" applyFont="1" applyFill="1" applyBorder="1" applyAlignment="1">
      <alignment horizontal="center"/>
    </xf>
    <xf numFmtId="2" fontId="10" fillId="51" borderId="18" xfId="0" applyNumberFormat="1" applyFont="1" applyFill="1" applyBorder="1" applyAlignment="1">
      <alignment horizontal="right"/>
    </xf>
    <xf numFmtId="9" fontId="7" fillId="51" borderId="14" xfId="0" applyNumberFormat="1" applyFont="1" applyFill="1" applyBorder="1" applyAlignment="1">
      <alignment horizontal="center"/>
    </xf>
    <xf numFmtId="2" fontId="7" fillId="51" borderId="19" xfId="0" applyNumberFormat="1" applyFont="1" applyFill="1" applyBorder="1"/>
    <xf numFmtId="168" fontId="54" fillId="51" borderId="36" xfId="0" applyNumberFormat="1" applyFont="1" applyFill="1" applyBorder="1" applyAlignment="1">
      <alignment horizontal="left"/>
    </xf>
    <xf numFmtId="168" fontId="8" fillId="51" borderId="43" xfId="0" applyNumberFormat="1" applyFont="1" applyFill="1" applyBorder="1" applyAlignment="1">
      <alignment horizontal="left"/>
    </xf>
    <xf numFmtId="9" fontId="7" fillId="51" borderId="34" xfId="0" applyNumberFormat="1" applyFont="1" applyFill="1" applyBorder="1" applyAlignment="1">
      <alignment horizontal="center"/>
    </xf>
    <xf numFmtId="2" fontId="0" fillId="51" borderId="19" xfId="0" applyNumberFormat="1" applyFill="1" applyBorder="1"/>
    <xf numFmtId="2" fontId="0" fillId="51" borderId="26" xfId="0" applyNumberFormat="1" applyFill="1" applyBorder="1"/>
    <xf numFmtId="2" fontId="0" fillId="51" borderId="27" xfId="0" applyNumberFormat="1" applyFill="1" applyBorder="1"/>
    <xf numFmtId="2" fontId="15" fillId="51" borderId="27" xfId="0" applyNumberFormat="1" applyFont="1" applyFill="1" applyBorder="1" applyAlignment="1">
      <alignment horizontal="center"/>
    </xf>
    <xf numFmtId="2" fontId="0" fillId="51" borderId="28" xfId="0" applyNumberFormat="1" applyFill="1" applyBorder="1"/>
    <xf numFmtId="2" fontId="9" fillId="51" borderId="26" xfId="0" applyNumberFormat="1" applyFont="1" applyFill="1" applyBorder="1"/>
    <xf numFmtId="2" fontId="9" fillId="51" borderId="26" xfId="0" applyNumberFormat="1" applyFont="1" applyFill="1" applyBorder="1" applyAlignment="1">
      <alignment horizontal="right"/>
    </xf>
    <xf numFmtId="165" fontId="0" fillId="51" borderId="28" xfId="0" applyNumberFormat="1" applyFill="1" applyBorder="1"/>
    <xf numFmtId="2" fontId="1" fillId="51" borderId="71" xfId="0" quotePrefix="1" applyNumberFormat="1" applyFont="1" applyFill="1" applyBorder="1"/>
    <xf numFmtId="2" fontId="1" fillId="51" borderId="0" xfId="0" applyNumberFormat="1" applyFont="1" applyFill="1"/>
    <xf numFmtId="2" fontId="36" fillId="51" borderId="0" xfId="0" applyNumberFormat="1" applyFont="1" applyFill="1"/>
    <xf numFmtId="2" fontId="36" fillId="51" borderId="32" xfId="0" applyNumberFormat="1" applyFont="1" applyFill="1" applyBorder="1"/>
    <xf numFmtId="2" fontId="40" fillId="51" borderId="74" xfId="0" applyNumberFormat="1" applyFont="1" applyFill="1" applyBorder="1" applyAlignment="1">
      <alignment horizontal="right"/>
    </xf>
    <xf numFmtId="165" fontId="1" fillId="51" borderId="70" xfId="0" applyNumberFormat="1" applyFont="1" applyFill="1" applyBorder="1"/>
    <xf numFmtId="2" fontId="15" fillId="51" borderId="71" xfId="0" applyNumberFormat="1" applyFont="1" applyFill="1" applyBorder="1" applyAlignment="1">
      <alignment horizontal="left"/>
    </xf>
    <xf numFmtId="2" fontId="1" fillId="51" borderId="0" xfId="0" applyNumberFormat="1" applyFont="1" applyFill="1" applyAlignment="1">
      <alignment horizontal="right"/>
    </xf>
    <xf numFmtId="2" fontId="0" fillId="51" borderId="71" xfId="0" applyNumberFormat="1" applyFill="1" applyBorder="1"/>
    <xf numFmtId="165" fontId="0" fillId="51" borderId="32" xfId="0" applyNumberFormat="1" applyFill="1" applyBorder="1"/>
    <xf numFmtId="2" fontId="9" fillId="51" borderId="71" xfId="0" applyNumberFormat="1" applyFont="1" applyFill="1" applyBorder="1"/>
    <xf numFmtId="2" fontId="12" fillId="51" borderId="0" xfId="0" applyNumberFormat="1" applyFont="1" applyFill="1" applyAlignment="1">
      <alignment horizontal="right"/>
    </xf>
    <xf numFmtId="2" fontId="0" fillId="51" borderId="32" xfId="0" applyNumberFormat="1" applyFill="1" applyBorder="1"/>
    <xf numFmtId="2" fontId="12" fillId="51" borderId="71" xfId="0" applyNumberFormat="1" applyFont="1" applyFill="1" applyBorder="1"/>
    <xf numFmtId="2" fontId="77" fillId="51" borderId="0" xfId="0" applyNumberFormat="1" applyFont="1" applyFill="1"/>
    <xf numFmtId="2" fontId="77" fillId="51" borderId="21" xfId="0" applyNumberFormat="1" applyFont="1" applyFill="1" applyBorder="1"/>
    <xf numFmtId="2" fontId="77" fillId="51" borderId="15" xfId="0" applyNumberFormat="1" applyFont="1" applyFill="1" applyBorder="1" applyAlignment="1">
      <alignment horizontal="right"/>
    </xf>
    <xf numFmtId="2" fontId="0" fillId="51" borderId="4" xfId="0" applyNumberFormat="1" applyFill="1" applyBorder="1"/>
    <xf numFmtId="2" fontId="1" fillId="51" borderId="72" xfId="0" applyNumberFormat="1" applyFont="1" applyFill="1" applyBorder="1" applyAlignment="1">
      <alignment horizontal="right"/>
    </xf>
    <xf numFmtId="2" fontId="0" fillId="51" borderId="72" xfId="0" applyNumberFormat="1" applyFill="1" applyBorder="1"/>
    <xf numFmtId="2" fontId="77" fillId="51" borderId="72" xfId="0" applyNumberFormat="1" applyFont="1" applyFill="1" applyBorder="1"/>
    <xf numFmtId="2" fontId="77" fillId="51" borderId="19" xfId="0" applyNumberFormat="1" applyFont="1" applyFill="1" applyBorder="1"/>
    <xf numFmtId="2" fontId="77" fillId="51" borderId="20" xfId="0" applyNumberFormat="1" applyFont="1" applyFill="1" applyBorder="1" applyAlignment="1">
      <alignment horizontal="right"/>
    </xf>
    <xf numFmtId="168" fontId="15" fillId="51" borderId="0" xfId="0" applyNumberFormat="1" applyFont="1" applyFill="1" applyAlignment="1" applyProtection="1">
      <alignment horizontal="center"/>
      <protection locked="0"/>
    </xf>
    <xf numFmtId="2" fontId="36" fillId="51" borderId="64" xfId="0" applyNumberFormat="1" applyFont="1" applyFill="1" applyBorder="1" applyAlignment="1">
      <alignment horizontal="center"/>
    </xf>
    <xf numFmtId="2" fontId="15" fillId="51" borderId="18" xfId="0" applyNumberFormat="1" applyFont="1" applyFill="1" applyBorder="1"/>
    <xf numFmtId="2" fontId="15" fillId="51" borderId="0" xfId="0" applyNumberFormat="1" applyFont="1" applyFill="1" applyAlignment="1">
      <alignment horizontal="right"/>
    </xf>
    <xf numFmtId="2" fontId="1" fillId="51" borderId="0" xfId="0" applyNumberFormat="1" applyFont="1" applyFill="1" applyAlignment="1" applyProtection="1">
      <alignment horizontal="center"/>
      <protection locked="0"/>
    </xf>
    <xf numFmtId="2" fontId="36" fillId="51" borderId="0" xfId="0" applyNumberFormat="1" applyFont="1" applyFill="1" applyAlignment="1">
      <alignment horizontal="left"/>
    </xf>
    <xf numFmtId="2" fontId="1" fillId="51" borderId="73" xfId="0" applyNumberFormat="1" applyFont="1" applyFill="1" applyBorder="1"/>
    <xf numFmtId="2" fontId="40" fillId="51" borderId="20" xfId="0" applyNumberFormat="1" applyFont="1" applyFill="1" applyBorder="1"/>
    <xf numFmtId="2" fontId="16" fillId="51" borderId="18" xfId="0" quotePrefix="1" applyNumberFormat="1" applyFont="1" applyFill="1" applyBorder="1" applyAlignment="1">
      <alignment horizontal="right"/>
    </xf>
    <xf numFmtId="2" fontId="7" fillId="51" borderId="0" xfId="0" quotePrefix="1" applyNumberFormat="1" applyFont="1" applyFill="1"/>
    <xf numFmtId="2" fontId="16" fillId="51" borderId="19" xfId="0" applyNumberFormat="1" applyFont="1" applyFill="1" applyBorder="1" applyAlignment="1">
      <alignment horizontal="right"/>
    </xf>
    <xf numFmtId="2" fontId="1" fillId="51" borderId="20" xfId="0" applyNumberFormat="1" applyFont="1" applyFill="1" applyBorder="1"/>
    <xf numFmtId="2" fontId="7" fillId="51" borderId="15" xfId="0" quotePrefix="1" applyNumberFormat="1" applyFont="1" applyFill="1" applyBorder="1"/>
    <xf numFmtId="2" fontId="8" fillId="51" borderId="26" xfId="0" quotePrefix="1" applyNumberFormat="1" applyFont="1" applyFill="1" applyBorder="1"/>
    <xf numFmtId="2" fontId="8" fillId="51" borderId="27" xfId="0" quotePrefix="1" applyNumberFormat="1" applyFont="1" applyFill="1" applyBorder="1"/>
    <xf numFmtId="2" fontId="53" fillId="51" borderId="27" xfId="0" quotePrefix="1" applyNumberFormat="1" applyFont="1" applyFill="1" applyBorder="1"/>
    <xf numFmtId="2" fontId="53" fillId="51" borderId="28" xfId="0" quotePrefix="1" applyNumberFormat="1" applyFont="1" applyFill="1" applyBorder="1"/>
    <xf numFmtId="2" fontId="1" fillId="51" borderId="0" xfId="0" applyNumberFormat="1" applyFont="1" applyFill="1" applyAlignment="1">
      <alignment horizontal="center"/>
    </xf>
    <xf numFmtId="2" fontId="17" fillId="51" borderId="0" xfId="0" applyNumberFormat="1" applyFont="1" applyFill="1" applyAlignment="1">
      <alignment horizontal="right"/>
    </xf>
    <xf numFmtId="2" fontId="15" fillId="51" borderId="0" xfId="0" applyNumberFormat="1" applyFont="1" applyFill="1" applyAlignment="1">
      <alignment horizontal="left"/>
    </xf>
    <xf numFmtId="2" fontId="73" fillId="51" borderId="0" xfId="0" quotePrefix="1" applyNumberFormat="1" applyFont="1" applyFill="1" applyAlignment="1">
      <alignment horizontal="left"/>
    </xf>
    <xf numFmtId="0" fontId="0" fillId="51" borderId="19" xfId="0" applyFill="1" applyBorder="1" applyAlignment="1">
      <alignment horizontal="right"/>
    </xf>
    <xf numFmtId="0" fontId="0" fillId="51" borderId="20" xfId="0" applyFill="1" applyBorder="1"/>
    <xf numFmtId="2" fontId="0" fillId="51" borderId="20" xfId="0" applyNumberFormat="1" applyFill="1" applyBorder="1" applyAlignment="1">
      <alignment horizontal="right"/>
    </xf>
    <xf numFmtId="2" fontId="73" fillId="51" borderId="20" xfId="0" quotePrefix="1" applyNumberFormat="1" applyFont="1" applyFill="1" applyBorder="1" applyAlignment="1">
      <alignment horizontal="left"/>
    </xf>
    <xf numFmtId="0" fontId="17" fillId="51" borderId="26" xfId="0" applyFont="1" applyFill="1" applyBorder="1"/>
    <xf numFmtId="0" fontId="17" fillId="51" borderId="27" xfId="0" applyFont="1" applyFill="1" applyBorder="1"/>
    <xf numFmtId="0" fontId="15" fillId="51" borderId="27" xfId="0" applyFont="1" applyFill="1" applyBorder="1" applyAlignment="1">
      <alignment horizontal="center"/>
    </xf>
    <xf numFmtId="0" fontId="17" fillId="51" borderId="28" xfId="0" applyFont="1" applyFill="1" applyBorder="1"/>
    <xf numFmtId="2" fontId="17" fillId="51" borderId="18" xfId="0" applyNumberFormat="1" applyFont="1" applyFill="1" applyBorder="1" applyAlignment="1">
      <alignment horizontal="right"/>
    </xf>
    <xf numFmtId="2" fontId="17" fillId="51" borderId="0" xfId="0" applyNumberFormat="1" applyFont="1" applyFill="1"/>
    <xf numFmtId="2" fontId="17" fillId="51" borderId="17" xfId="0" applyNumberFormat="1" applyFont="1" applyFill="1" applyBorder="1"/>
    <xf numFmtId="2" fontId="15" fillId="51" borderId="0" xfId="0" applyNumberFormat="1" applyFont="1" applyFill="1" applyAlignment="1">
      <alignment horizontal="center"/>
    </xf>
    <xf numFmtId="0" fontId="17" fillId="51" borderId="18" xfId="0" applyFont="1" applyFill="1" applyBorder="1"/>
    <xf numFmtId="2" fontId="17" fillId="51" borderId="19" xfId="0" applyNumberFormat="1" applyFont="1" applyFill="1" applyBorder="1" applyAlignment="1">
      <alignment horizontal="right"/>
    </xf>
    <xf numFmtId="2" fontId="17" fillId="51" borderId="20" xfId="0" applyNumberFormat="1" applyFont="1" applyFill="1" applyBorder="1" applyAlignment="1">
      <alignment horizontal="left"/>
    </xf>
    <xf numFmtId="2" fontId="17" fillId="51" borderId="20" xfId="0" applyNumberFormat="1" applyFont="1" applyFill="1" applyBorder="1" applyAlignment="1">
      <alignment horizontal="right"/>
    </xf>
    <xf numFmtId="2" fontId="17" fillId="51" borderId="20" xfId="0" applyNumberFormat="1" applyFont="1" applyFill="1" applyBorder="1"/>
    <xf numFmtId="2" fontId="17" fillId="51" borderId="25" xfId="0" applyNumberFormat="1" applyFont="1" applyFill="1" applyBorder="1"/>
    <xf numFmtId="168" fontId="5" fillId="50" borderId="38" xfId="0" applyNumberFormat="1" applyFont="1" applyFill="1" applyBorder="1" applyAlignment="1">
      <alignment horizontal="center"/>
    </xf>
    <xf numFmtId="4" fontId="69" fillId="50" borderId="33" xfId="0" applyNumberFormat="1" applyFont="1" applyFill="1" applyBorder="1" applyAlignment="1">
      <alignment horizontal="center"/>
    </xf>
    <xf numFmtId="165" fontId="84" fillId="50" borderId="33" xfId="0" applyNumberFormat="1" applyFont="1" applyFill="1" applyBorder="1" applyAlignment="1">
      <alignment horizontal="center"/>
    </xf>
    <xf numFmtId="168" fontId="84" fillId="50" borderId="38" xfId="0" applyNumberFormat="1" applyFont="1" applyFill="1" applyBorder="1" applyAlignment="1">
      <alignment horizontal="center"/>
    </xf>
    <xf numFmtId="165" fontId="5" fillId="50" borderId="20" xfId="0" applyNumberFormat="1" applyFont="1" applyFill="1" applyBorder="1" applyAlignment="1">
      <alignment horizontal="center"/>
    </xf>
    <xf numFmtId="168" fontId="5" fillId="50" borderId="0" xfId="0" applyNumberFormat="1" applyFont="1" applyFill="1" applyAlignment="1">
      <alignment horizontal="center"/>
    </xf>
    <xf numFmtId="168" fontId="5" fillId="50" borderId="20" xfId="0" applyNumberFormat="1" applyFont="1" applyFill="1" applyBorder="1" applyAlignment="1">
      <alignment horizontal="center"/>
    </xf>
    <xf numFmtId="166" fontId="5" fillId="50" borderId="0" xfId="0" applyNumberFormat="1" applyFont="1" applyFill="1"/>
    <xf numFmtId="2" fontId="84" fillId="50" borderId="0" xfId="0" applyNumberFormat="1" applyFont="1" applyFill="1" applyAlignment="1">
      <alignment horizontal="center"/>
    </xf>
    <xf numFmtId="2" fontId="69" fillId="50" borderId="0" xfId="0" applyNumberFormat="1" applyFont="1" applyFill="1" applyAlignment="1">
      <alignment horizontal="center"/>
    </xf>
    <xf numFmtId="169" fontId="84" fillId="50" borderId="0" xfId="0" applyNumberFormat="1" applyFont="1" applyFill="1"/>
    <xf numFmtId="1" fontId="77" fillId="48" borderId="0" xfId="0" applyNumberFormat="1" applyFont="1" applyFill="1" applyAlignment="1" applyProtection="1">
      <alignment horizontal="center"/>
      <protection locked="0"/>
    </xf>
    <xf numFmtId="2" fontId="8" fillId="51" borderId="19" xfId="0" quotePrefix="1" applyNumberFormat="1" applyFont="1" applyFill="1" applyBorder="1"/>
    <xf numFmtId="2" fontId="16" fillId="51" borderId="20" xfId="0" applyNumberFormat="1" applyFont="1" applyFill="1" applyBorder="1"/>
    <xf numFmtId="2" fontId="1" fillId="51" borderId="18" xfId="0" applyNumberFormat="1" applyFont="1" applyFill="1" applyBorder="1" applyAlignment="1">
      <alignment horizontal="center"/>
    </xf>
    <xf numFmtId="2" fontId="0" fillId="51" borderId="74" xfId="0" applyNumberFormat="1" applyFill="1" applyBorder="1" applyAlignment="1">
      <alignment horizontal="right"/>
    </xf>
    <xf numFmtId="2" fontId="0" fillId="51" borderId="15" xfId="0" quotePrefix="1" applyNumberFormat="1" applyFill="1" applyBorder="1"/>
    <xf numFmtId="2" fontId="53" fillId="51" borderId="15" xfId="0" applyNumberFormat="1" applyFont="1" applyFill="1" applyBorder="1"/>
    <xf numFmtId="2" fontId="17" fillId="51" borderId="4" xfId="0" applyNumberFormat="1" applyFont="1" applyFill="1" applyBorder="1" applyAlignment="1">
      <alignment horizontal="right"/>
    </xf>
    <xf numFmtId="4" fontId="6" fillId="50" borderId="76" xfId="0" applyNumberFormat="1" applyFont="1" applyFill="1" applyBorder="1" applyAlignment="1">
      <alignment horizontal="center"/>
    </xf>
    <xf numFmtId="2" fontId="84" fillId="50" borderId="75" xfId="0" applyNumberFormat="1" applyFont="1" applyFill="1" applyBorder="1" applyAlignment="1">
      <alignment horizontal="center"/>
    </xf>
    <xf numFmtId="2" fontId="78" fillId="51" borderId="32" xfId="0" applyNumberFormat="1" applyFont="1" applyFill="1" applyBorder="1"/>
    <xf numFmtId="168" fontId="84" fillId="50" borderId="22" xfId="0" applyNumberFormat="1" applyFont="1" applyFill="1" applyBorder="1"/>
    <xf numFmtId="168" fontId="84" fillId="50" borderId="38" xfId="0" applyNumberFormat="1" applyFont="1" applyFill="1" applyBorder="1"/>
    <xf numFmtId="2" fontId="69" fillId="50" borderId="0" xfId="0" applyNumberFormat="1" applyFont="1" applyFill="1"/>
    <xf numFmtId="10" fontId="69" fillId="50" borderId="20" xfId="0" applyNumberFormat="1" applyFont="1" applyFill="1" applyBorder="1" applyAlignment="1">
      <alignment horizontal="center"/>
    </xf>
    <xf numFmtId="2" fontId="84" fillId="50" borderId="20" xfId="0" applyNumberFormat="1" applyFont="1" applyFill="1" applyBorder="1" applyAlignment="1">
      <alignment horizontal="center"/>
    </xf>
    <xf numFmtId="37" fontId="69" fillId="50" borderId="0" xfId="1" applyNumberFormat="1" applyFont="1" applyFill="1" applyBorder="1" applyAlignment="1" applyProtection="1">
      <alignment horizontal="center"/>
    </xf>
    <xf numFmtId="9" fontId="69" fillId="50" borderId="20" xfId="0" applyNumberFormat="1" applyFont="1" applyFill="1" applyBorder="1" applyAlignment="1">
      <alignment horizontal="center"/>
    </xf>
    <xf numFmtId="170" fontId="69" fillId="50" borderId="0" xfId="1" applyNumberFormat="1" applyFont="1" applyFill="1" applyBorder="1" applyAlignment="1" applyProtection="1">
      <alignment horizontal="right"/>
    </xf>
    <xf numFmtId="9" fontId="69" fillId="50" borderId="0" xfId="0" applyNumberFormat="1" applyFont="1" applyFill="1" applyAlignment="1">
      <alignment horizontal="center"/>
    </xf>
    <xf numFmtId="10" fontId="84" fillId="50" borderId="6" xfId="0" applyNumberFormat="1" applyFont="1" applyFill="1" applyBorder="1" applyAlignment="1">
      <alignment horizontal="center"/>
    </xf>
    <xf numFmtId="166" fontId="69" fillId="50" borderId="0" xfId="1" applyNumberFormat="1" applyFont="1" applyFill="1" applyBorder="1" applyAlignment="1" applyProtection="1">
      <alignment horizontal="center"/>
    </xf>
    <xf numFmtId="2" fontId="69" fillId="50" borderId="22" xfId="0" applyNumberFormat="1" applyFont="1" applyFill="1" applyBorder="1" applyAlignment="1">
      <alignment horizontal="center"/>
    </xf>
    <xf numFmtId="3" fontId="69" fillId="50" borderId="23" xfId="0" applyNumberFormat="1" applyFont="1" applyFill="1" applyBorder="1" applyAlignment="1">
      <alignment horizontal="center"/>
    </xf>
    <xf numFmtId="2" fontId="69" fillId="50" borderId="23" xfId="0" applyNumberFormat="1" applyFont="1" applyFill="1" applyBorder="1" applyAlignment="1">
      <alignment horizontal="center"/>
    </xf>
    <xf numFmtId="9" fontId="69" fillId="50" borderId="38" xfId="0" applyNumberFormat="1" applyFont="1" applyFill="1" applyBorder="1" applyAlignment="1">
      <alignment horizontal="center"/>
    </xf>
    <xf numFmtId="4" fontId="84" fillId="50" borderId="0" xfId="0" applyNumberFormat="1" applyFont="1" applyFill="1" applyAlignment="1">
      <alignment horizontal="center"/>
    </xf>
    <xf numFmtId="3" fontId="69" fillId="50" borderId="20" xfId="0" applyNumberFormat="1" applyFont="1" applyFill="1" applyBorder="1" applyAlignment="1">
      <alignment horizontal="center"/>
    </xf>
    <xf numFmtId="2" fontId="69" fillId="50" borderId="0" xfId="0" applyNumberFormat="1" applyFont="1" applyFill="1" applyAlignment="1">
      <alignment horizontal="right"/>
    </xf>
    <xf numFmtId="2" fontId="69" fillId="50" borderId="17" xfId="0" applyNumberFormat="1" applyFont="1" applyFill="1" applyBorder="1" applyAlignment="1">
      <alignment horizontal="center"/>
    </xf>
    <xf numFmtId="9" fontId="69" fillId="50" borderId="25" xfId="0" applyNumberFormat="1" applyFont="1" applyFill="1" applyBorder="1" applyAlignment="1">
      <alignment horizontal="center"/>
    </xf>
    <xf numFmtId="165" fontId="84" fillId="50" borderId="0" xfId="0" applyNumberFormat="1" applyFont="1" applyFill="1" applyAlignment="1">
      <alignment horizontal="center"/>
    </xf>
    <xf numFmtId="10" fontId="84" fillId="50" borderId="17" xfId="0" applyNumberFormat="1" applyFont="1" applyFill="1" applyBorder="1" applyAlignment="1">
      <alignment horizontal="center"/>
    </xf>
    <xf numFmtId="10" fontId="84" fillId="50" borderId="25" xfId="0" applyNumberFormat="1" applyFont="1" applyFill="1" applyBorder="1" applyAlignment="1">
      <alignment horizontal="center"/>
    </xf>
    <xf numFmtId="10" fontId="69" fillId="50" borderId="17" xfId="0" applyNumberFormat="1" applyFont="1" applyFill="1" applyBorder="1" applyAlignment="1">
      <alignment horizontal="center"/>
    </xf>
    <xf numFmtId="2" fontId="69" fillId="50" borderId="38" xfId="0" applyNumberFormat="1" applyFont="1" applyFill="1" applyBorder="1" applyAlignment="1">
      <alignment horizontal="center"/>
    </xf>
    <xf numFmtId="2" fontId="17" fillId="51" borderId="15" xfId="0" applyNumberFormat="1" applyFont="1" applyFill="1" applyBorder="1" applyAlignment="1">
      <alignment horizontal="left"/>
    </xf>
    <xf numFmtId="2" fontId="17" fillId="51" borderId="71" xfId="0" applyNumberFormat="1" applyFont="1" applyFill="1" applyBorder="1"/>
    <xf numFmtId="2" fontId="5" fillId="50" borderId="71" xfId="0" applyNumberFormat="1" applyFont="1" applyFill="1" applyBorder="1" applyAlignment="1">
      <alignment horizontal="center"/>
    </xf>
    <xf numFmtId="2" fontId="5" fillId="50" borderId="73" xfId="0" applyNumberFormat="1" applyFont="1" applyFill="1" applyBorder="1" applyAlignment="1">
      <alignment horizontal="center"/>
    </xf>
    <xf numFmtId="169" fontId="5" fillId="50" borderId="0" xfId="0" applyNumberFormat="1" applyFont="1" applyFill="1"/>
    <xf numFmtId="2" fontId="17" fillId="51" borderId="74" xfId="0" applyNumberFormat="1" applyFont="1" applyFill="1" applyBorder="1" applyAlignment="1">
      <alignment horizontal="right"/>
    </xf>
    <xf numFmtId="2" fontId="17" fillId="51" borderId="72" xfId="0" applyNumberFormat="1" applyFont="1" applyFill="1" applyBorder="1" applyAlignment="1">
      <alignment horizontal="center"/>
    </xf>
    <xf numFmtId="2" fontId="17" fillId="51" borderId="72" xfId="0" applyNumberFormat="1" applyFont="1" applyFill="1" applyBorder="1" applyAlignment="1">
      <alignment horizontal="right"/>
    </xf>
    <xf numFmtId="10" fontId="69" fillId="50" borderId="46" xfId="0" applyNumberFormat="1" applyFont="1" applyFill="1" applyBorder="1" applyAlignment="1">
      <alignment horizontal="center"/>
    </xf>
    <xf numFmtId="2" fontId="1" fillId="18" borderId="9" xfId="0" applyNumberFormat="1" applyFont="1" applyFill="1" applyBorder="1"/>
    <xf numFmtId="22" fontId="1" fillId="51" borderId="0" xfId="0" applyNumberFormat="1" applyFont="1" applyFill="1"/>
    <xf numFmtId="4" fontId="15" fillId="19" borderId="53" xfId="0" applyNumberFormat="1" applyFont="1" applyFill="1" applyBorder="1" applyAlignment="1">
      <alignment horizontal="center"/>
    </xf>
    <xf numFmtId="173" fontId="0" fillId="15" borderId="0" xfId="0" applyNumberFormat="1" applyFill="1" applyAlignment="1">
      <alignment horizontal="center"/>
    </xf>
    <xf numFmtId="173" fontId="0" fillId="10" borderId="0" xfId="0" applyNumberFormat="1" applyFill="1" applyAlignment="1">
      <alignment horizontal="center"/>
    </xf>
    <xf numFmtId="167" fontId="90" fillId="48" borderId="15" xfId="0" applyNumberFormat="1" applyFont="1" applyFill="1" applyBorder="1" applyAlignment="1" applyProtection="1">
      <alignment horizontal="center"/>
      <protection locked="0"/>
    </xf>
    <xf numFmtId="1" fontId="90" fillId="48" borderId="0" xfId="0" applyNumberFormat="1" applyFont="1" applyFill="1" applyAlignment="1" applyProtection="1">
      <alignment horizontal="center"/>
      <protection locked="0"/>
    </xf>
    <xf numFmtId="2" fontId="0" fillId="42" borderId="71" xfId="0" applyNumberFormat="1" applyFill="1" applyBorder="1" applyAlignment="1">
      <alignment horizontal="center"/>
    </xf>
    <xf numFmtId="173" fontId="90" fillId="24" borderId="0" xfId="0" applyNumberFormat="1" applyFont="1" applyFill="1" applyAlignment="1" applyProtection="1">
      <alignment horizontal="center"/>
      <protection locked="0"/>
    </xf>
    <xf numFmtId="3" fontId="90" fillId="27" borderId="0" xfId="0" applyNumberFormat="1" applyFont="1" applyFill="1" applyAlignment="1" applyProtection="1">
      <alignment horizontal="center"/>
      <protection locked="0"/>
    </xf>
    <xf numFmtId="2" fontId="90" fillId="22" borderId="65" xfId="0" applyNumberFormat="1" applyFont="1" applyFill="1" applyBorder="1" applyAlignment="1" applyProtection="1">
      <alignment horizontal="center"/>
      <protection locked="0"/>
    </xf>
    <xf numFmtId="4" fontId="90" fillId="24" borderId="22" xfId="0" applyNumberFormat="1" applyFont="1" applyFill="1" applyBorder="1" applyAlignment="1" applyProtection="1">
      <alignment horizontal="center"/>
      <protection locked="0"/>
    </xf>
    <xf numFmtId="4" fontId="90" fillId="24" borderId="38" xfId="0" applyNumberFormat="1" applyFont="1" applyFill="1" applyBorder="1" applyAlignment="1" applyProtection="1">
      <alignment horizontal="center"/>
      <protection locked="0"/>
    </xf>
    <xf numFmtId="173" fontId="89" fillId="22" borderId="0" xfId="0" applyNumberFormat="1" applyFont="1" applyFill="1" applyAlignment="1" applyProtection="1">
      <alignment horizontal="center"/>
      <protection locked="0"/>
    </xf>
    <xf numFmtId="2" fontId="89" fillId="8" borderId="15" xfId="0" applyNumberFormat="1" applyFont="1" applyFill="1" applyBorder="1"/>
    <xf numFmtId="10" fontId="89" fillId="22" borderId="33" xfId="0" applyNumberFormat="1" applyFont="1" applyFill="1" applyBorder="1" applyAlignment="1" applyProtection="1">
      <alignment horizontal="center"/>
      <protection locked="0"/>
    </xf>
    <xf numFmtId="2" fontId="91" fillId="19" borderId="60" xfId="0" applyNumberFormat="1" applyFont="1" applyFill="1" applyBorder="1" applyAlignment="1">
      <alignment horizontal="center"/>
    </xf>
    <xf numFmtId="2" fontId="91" fillId="19" borderId="38" xfId="0" applyNumberFormat="1" applyFont="1" applyFill="1" applyBorder="1" applyAlignment="1">
      <alignment horizontal="center"/>
    </xf>
    <xf numFmtId="10" fontId="92" fillId="19" borderId="33" xfId="0" applyNumberFormat="1" applyFont="1" applyFill="1" applyBorder="1" applyAlignment="1">
      <alignment horizontal="center"/>
    </xf>
    <xf numFmtId="10" fontId="91" fillId="5" borderId="33" xfId="0" applyNumberFormat="1" applyFont="1" applyFill="1" applyBorder="1" applyAlignment="1">
      <alignment horizontal="center"/>
    </xf>
    <xf numFmtId="4" fontId="91" fillId="5" borderId="0" xfId="0" applyNumberFormat="1" applyFont="1" applyFill="1" applyAlignment="1">
      <alignment horizontal="center"/>
    </xf>
    <xf numFmtId="2" fontId="91" fillId="5" borderId="0" xfId="0" applyNumberFormat="1" applyFont="1" applyFill="1" applyAlignment="1">
      <alignment horizontal="center"/>
    </xf>
    <xf numFmtId="165" fontId="91" fillId="5" borderId="26" xfId="0" applyNumberFormat="1" applyFont="1" applyFill="1" applyBorder="1" applyAlignment="1">
      <alignment horizontal="center"/>
    </xf>
    <xf numFmtId="2" fontId="1" fillId="30" borderId="0" xfId="0" applyNumberFormat="1" applyFont="1" applyFill="1"/>
    <xf numFmtId="167" fontId="1" fillId="6" borderId="0" xfId="0" applyNumberFormat="1" applyFont="1" applyFill="1"/>
    <xf numFmtId="167" fontId="89" fillId="48" borderId="33" xfId="0" quotePrefix="1" applyNumberFormat="1" applyFont="1" applyFill="1" applyBorder="1" applyAlignment="1" applyProtection="1">
      <alignment horizontal="center"/>
      <protection locked="0"/>
    </xf>
    <xf numFmtId="10" fontId="89" fillId="19" borderId="0" xfId="2" applyNumberFormat="1" applyFont="1" applyFill="1" applyBorder="1" applyAlignment="1" applyProtection="1">
      <alignment horizontal="center"/>
    </xf>
    <xf numFmtId="2" fontId="8" fillId="28" borderId="0" xfId="0" applyNumberFormat="1" applyFont="1" applyFill="1" applyAlignment="1">
      <alignment horizontal="right"/>
    </xf>
    <xf numFmtId="2" fontId="36" fillId="28" borderId="0" xfId="0" applyNumberFormat="1" applyFont="1" applyFill="1" applyAlignment="1">
      <alignment horizontal="right"/>
    </xf>
    <xf numFmtId="173" fontId="89" fillId="19" borderId="0" xfId="2" applyNumberFormat="1" applyFont="1" applyFill="1" applyBorder="1" applyAlignment="1" applyProtection="1">
      <alignment horizontal="center"/>
    </xf>
    <xf numFmtId="2" fontId="0" fillId="54" borderId="21" xfId="0" applyNumberFormat="1" applyFill="1" applyBorder="1"/>
    <xf numFmtId="2" fontId="0" fillId="54" borderId="15" xfId="0" applyNumberFormat="1" applyFill="1" applyBorder="1"/>
    <xf numFmtId="2" fontId="15" fillId="54" borderId="15" xfId="0" applyNumberFormat="1" applyFont="1" applyFill="1" applyBorder="1"/>
    <xf numFmtId="2" fontId="0" fillId="54" borderId="16" xfId="0" applyNumberFormat="1" applyFill="1" applyBorder="1"/>
    <xf numFmtId="2" fontId="1" fillId="54" borderId="18" xfId="0" applyNumberFormat="1" applyFont="1" applyFill="1" applyBorder="1" applyAlignment="1">
      <alignment horizontal="right"/>
    </xf>
    <xf numFmtId="2" fontId="0" fillId="54" borderId="18" xfId="0" applyNumberFormat="1" applyFill="1" applyBorder="1" applyAlignment="1">
      <alignment horizontal="right"/>
    </xf>
    <xf numFmtId="2" fontId="0" fillId="54" borderId="18" xfId="0" applyNumberFormat="1" applyFill="1" applyBorder="1"/>
    <xf numFmtId="2" fontId="0" fillId="52" borderId="0" xfId="0" applyNumberFormat="1" applyFill="1"/>
    <xf numFmtId="9" fontId="0" fillId="55" borderId="0" xfId="0" applyNumberFormat="1" applyFill="1" applyAlignment="1">
      <alignment horizontal="center"/>
    </xf>
    <xf numFmtId="2" fontId="15" fillId="52" borderId="0" xfId="0" applyNumberFormat="1" applyFont="1" applyFill="1" applyAlignment="1">
      <alignment horizontal="center"/>
    </xf>
    <xf numFmtId="9" fontId="0" fillId="55" borderId="20" xfId="0" applyNumberFormat="1" applyFill="1" applyBorder="1" applyAlignment="1">
      <alignment horizontal="center"/>
    </xf>
    <xf numFmtId="2" fontId="36" fillId="54" borderId="17" xfId="0" applyNumberFormat="1" applyFont="1" applyFill="1" applyBorder="1" applyAlignment="1">
      <alignment horizontal="center"/>
    </xf>
    <xf numFmtId="173" fontId="65" fillId="19" borderId="0" xfId="2" applyNumberFormat="1" applyFont="1" applyFill="1" applyBorder="1" applyAlignment="1" applyProtection="1">
      <alignment horizontal="center"/>
    </xf>
    <xf numFmtId="1" fontId="1" fillId="22" borderId="0" xfId="0" applyNumberFormat="1" applyFont="1" applyFill="1" applyAlignment="1" applyProtection="1">
      <alignment horizontal="center"/>
      <protection locked="0"/>
    </xf>
    <xf numFmtId="1" fontId="90" fillId="22" borderId="0" xfId="0" applyNumberFormat="1" applyFont="1" applyFill="1" applyAlignment="1" applyProtection="1">
      <alignment horizontal="center"/>
      <protection locked="0"/>
    </xf>
    <xf numFmtId="1" fontId="69" fillId="40" borderId="0" xfId="0" applyNumberFormat="1" applyFont="1" applyFill="1" applyAlignment="1">
      <alignment horizontal="center"/>
    </xf>
    <xf numFmtId="2" fontId="15" fillId="18" borderId="2" xfId="0" applyNumberFormat="1" applyFont="1" applyFill="1" applyBorder="1"/>
    <xf numFmtId="2" fontId="1" fillId="18" borderId="3" xfId="0" applyNumberFormat="1" applyFont="1" applyFill="1" applyBorder="1"/>
    <xf numFmtId="2" fontId="0" fillId="6" borderId="8" xfId="0" applyNumberFormat="1" applyFill="1" applyBorder="1"/>
    <xf numFmtId="2" fontId="5" fillId="7" borderId="0" xfId="0" applyNumberFormat="1" applyFont="1" applyFill="1" applyAlignment="1">
      <alignment horizontal="center"/>
    </xf>
    <xf numFmtId="2" fontId="0" fillId="25" borderId="0" xfId="0" applyNumberFormat="1" applyFill="1"/>
    <xf numFmtId="170" fontId="1" fillId="19" borderId="0" xfId="1" applyNumberFormat="1" applyFont="1" applyFill="1" applyBorder="1" applyAlignment="1" applyProtection="1">
      <alignment horizontal="right"/>
    </xf>
    <xf numFmtId="2" fontId="0" fillId="19" borderId="17" xfId="0" applyNumberFormat="1" applyFill="1" applyBorder="1" applyAlignment="1">
      <alignment horizontal="center"/>
    </xf>
    <xf numFmtId="2" fontId="14" fillId="26" borderId="0" xfId="0" applyNumberFormat="1" applyFont="1" applyFill="1"/>
    <xf numFmtId="2" fontId="0" fillId="23" borderId="15" xfId="0" quotePrefix="1" applyNumberFormat="1" applyFill="1" applyBorder="1"/>
    <xf numFmtId="2" fontId="8" fillId="14" borderId="0" xfId="0" applyNumberFormat="1" applyFont="1" applyFill="1" applyProtection="1">
      <protection locked="0"/>
    </xf>
    <xf numFmtId="0" fontId="0" fillId="15" borderId="0" xfId="0" applyFill="1"/>
    <xf numFmtId="2" fontId="0" fillId="30" borderId="58" xfId="0" applyNumberFormat="1" applyFill="1" applyBorder="1" applyAlignment="1">
      <alignment horizontal="right"/>
    </xf>
    <xf numFmtId="2" fontId="9" fillId="8" borderId="40" xfId="0" applyNumberFormat="1" applyFont="1" applyFill="1" applyBorder="1"/>
    <xf numFmtId="2" fontId="0" fillId="8" borderId="41" xfId="0" applyNumberFormat="1" applyFill="1" applyBorder="1"/>
    <xf numFmtId="2" fontId="15" fillId="8" borderId="42" xfId="0" applyNumberFormat="1" applyFont="1" applyFill="1" applyBorder="1"/>
    <xf numFmtId="2" fontId="0" fillId="8" borderId="39" xfId="0" applyNumberFormat="1" applyFill="1" applyBorder="1"/>
    <xf numFmtId="2" fontId="15" fillId="28" borderId="40" xfId="0" applyNumberFormat="1" applyFont="1" applyFill="1" applyBorder="1" applyAlignment="1">
      <alignment horizontal="center"/>
    </xf>
    <xf numFmtId="2" fontId="15" fillId="8" borderId="13" xfId="0" applyNumberFormat="1" applyFont="1" applyFill="1" applyBorder="1" applyAlignment="1">
      <alignment horizontal="center"/>
    </xf>
    <xf numFmtId="10" fontId="7" fillId="28" borderId="17" xfId="0" applyNumberFormat="1" applyFont="1" applyFill="1" applyBorder="1" applyAlignment="1">
      <alignment horizontal="center"/>
    </xf>
    <xf numFmtId="2" fontId="0" fillId="28" borderId="23" xfId="0" applyNumberFormat="1" applyFill="1" applyBorder="1" applyAlignment="1">
      <alignment horizontal="center"/>
    </xf>
    <xf numFmtId="9" fontId="0" fillId="20" borderId="14" xfId="0" applyNumberFormat="1" applyFill="1" applyBorder="1" applyAlignment="1">
      <alignment horizontal="center"/>
    </xf>
    <xf numFmtId="2" fontId="0" fillId="28" borderId="38" xfId="0" applyNumberFormat="1" applyFill="1" applyBorder="1" applyAlignment="1">
      <alignment horizontal="center"/>
    </xf>
    <xf numFmtId="165" fontId="8" fillId="5" borderId="33" xfId="0" applyNumberFormat="1" applyFont="1" applyFill="1" applyBorder="1" applyAlignment="1">
      <alignment horizontal="center"/>
    </xf>
    <xf numFmtId="10" fontId="8" fillId="28" borderId="17" xfId="0" applyNumberFormat="1" applyFont="1" applyFill="1" applyBorder="1" applyAlignment="1">
      <alignment horizontal="center"/>
    </xf>
    <xf numFmtId="168" fontId="11" fillId="26" borderId="36" xfId="0" applyNumberFormat="1" applyFont="1" applyFill="1" applyBorder="1" applyAlignment="1" applyProtection="1">
      <alignment horizontal="left"/>
      <protection locked="0"/>
    </xf>
    <xf numFmtId="168" fontId="0" fillId="26" borderId="43" xfId="0" applyNumberFormat="1" applyFill="1" applyBorder="1" applyAlignment="1" applyProtection="1">
      <alignment horizontal="left"/>
      <protection locked="0"/>
    </xf>
    <xf numFmtId="9" fontId="0" fillId="20" borderId="34" xfId="0" applyNumberFormat="1" applyFill="1" applyBorder="1" applyAlignment="1">
      <alignment horizontal="center"/>
    </xf>
    <xf numFmtId="2" fontId="36" fillId="18" borderId="21" xfId="0" applyNumberFormat="1" applyFont="1" applyFill="1" applyBorder="1" applyAlignment="1">
      <alignment horizontal="right"/>
    </xf>
    <xf numFmtId="166" fontId="0" fillId="22" borderId="15" xfId="0" applyNumberFormat="1" applyFill="1" applyBorder="1" applyAlignment="1" applyProtection="1">
      <alignment horizontal="center"/>
      <protection locked="0"/>
    </xf>
    <xf numFmtId="166" fontId="35" fillId="22" borderId="30" xfId="0" applyNumberFormat="1" applyFont="1" applyFill="1" applyBorder="1" applyAlignment="1" applyProtection="1">
      <alignment horizontal="center"/>
      <protection locked="0"/>
    </xf>
    <xf numFmtId="2" fontId="36" fillId="18" borderId="18" xfId="0" applyNumberFormat="1" applyFont="1" applyFill="1" applyBorder="1" applyAlignment="1">
      <alignment horizontal="right"/>
    </xf>
    <xf numFmtId="2" fontId="0" fillId="22" borderId="0" xfId="0" applyNumberFormat="1" applyFill="1" applyAlignment="1" applyProtection="1">
      <alignment horizontal="center"/>
      <protection locked="0"/>
    </xf>
    <xf numFmtId="2" fontId="47" fillId="19" borderId="33" xfId="0" applyNumberFormat="1" applyFont="1" applyFill="1" applyBorder="1" applyAlignment="1">
      <alignment horizontal="center"/>
    </xf>
    <xf numFmtId="2" fontId="1" fillId="22" borderId="0" xfId="0" applyNumberFormat="1" applyFont="1" applyFill="1" applyAlignment="1" applyProtection="1">
      <alignment horizontal="center"/>
      <protection locked="0"/>
    </xf>
    <xf numFmtId="2" fontId="36" fillId="18" borderId="19" xfId="0" applyNumberFormat="1" applyFont="1" applyFill="1" applyBorder="1" applyAlignment="1">
      <alignment horizontal="right"/>
    </xf>
    <xf numFmtId="2" fontId="35" fillId="22" borderId="25" xfId="0" applyNumberFormat="1" applyFont="1" applyFill="1" applyBorder="1" applyAlignment="1" applyProtection="1">
      <alignment horizontal="center"/>
      <protection locked="0"/>
    </xf>
    <xf numFmtId="165" fontId="0" fillId="18" borderId="16" xfId="0" applyNumberFormat="1" applyFill="1" applyBorder="1"/>
    <xf numFmtId="2" fontId="0" fillId="6" borderId="56" xfId="0" applyNumberFormat="1" applyFill="1" applyBorder="1"/>
    <xf numFmtId="168" fontId="8" fillId="19" borderId="13" xfId="0" applyNumberFormat="1" applyFont="1" applyFill="1" applyBorder="1"/>
    <xf numFmtId="2" fontId="0" fillId="25" borderId="18" xfId="0" quotePrefix="1" applyNumberFormat="1" applyFill="1" applyBorder="1" applyProtection="1">
      <protection locked="0"/>
    </xf>
    <xf numFmtId="2" fontId="0" fillId="25" borderId="66" xfId="0" applyNumberFormat="1" applyFill="1" applyBorder="1"/>
    <xf numFmtId="168" fontId="8" fillId="19" borderId="31" xfId="0" applyNumberFormat="1" applyFont="1" applyFill="1" applyBorder="1"/>
    <xf numFmtId="2" fontId="0" fillId="25" borderId="69" xfId="0" quotePrefix="1" applyNumberFormat="1" applyFill="1" applyBorder="1" applyProtection="1">
      <protection locked="0"/>
    </xf>
    <xf numFmtId="2" fontId="0" fillId="25" borderId="55" xfId="0" applyNumberFormat="1" applyFill="1" applyBorder="1"/>
    <xf numFmtId="2" fontId="0" fillId="25" borderId="53" xfId="0" applyNumberFormat="1" applyFill="1" applyBorder="1"/>
    <xf numFmtId="169" fontId="1" fillId="22" borderId="15" xfId="0" applyNumberFormat="1" applyFont="1" applyFill="1" applyBorder="1" applyProtection="1">
      <protection locked="0"/>
    </xf>
    <xf numFmtId="2" fontId="36" fillId="18" borderId="29" xfId="0" applyNumberFormat="1" applyFont="1" applyFill="1" applyBorder="1" applyAlignment="1">
      <alignment horizontal="center"/>
    </xf>
    <xf numFmtId="2" fontId="36" fillId="18" borderId="30" xfId="0" applyNumberFormat="1" applyFont="1" applyFill="1" applyBorder="1" applyAlignment="1">
      <alignment horizontal="center"/>
    </xf>
    <xf numFmtId="2" fontId="15" fillId="18" borderId="0" xfId="0" applyNumberFormat="1" applyFont="1" applyFill="1" applyAlignment="1">
      <alignment horizontal="right"/>
    </xf>
    <xf numFmtId="2" fontId="1" fillId="25" borderId="6" xfId="0" applyNumberFormat="1" applyFont="1" applyFill="1" applyBorder="1" applyAlignment="1" applyProtection="1">
      <alignment horizontal="center"/>
      <protection locked="0"/>
    </xf>
    <xf numFmtId="2" fontId="36" fillId="18" borderId="0" xfId="0" applyNumberFormat="1" applyFont="1" applyFill="1" applyAlignment="1">
      <alignment horizontal="left"/>
    </xf>
    <xf numFmtId="2" fontId="40" fillId="18" borderId="20" xfId="0" applyNumberFormat="1" applyFont="1" applyFill="1" applyBorder="1"/>
    <xf numFmtId="167" fontId="15" fillId="19" borderId="36" xfId="0" applyNumberFormat="1" applyFont="1" applyFill="1" applyBorder="1" applyAlignment="1">
      <alignment horizontal="center"/>
    </xf>
    <xf numFmtId="167" fontId="15" fillId="19" borderId="35" xfId="0" applyNumberFormat="1" applyFont="1" applyFill="1" applyBorder="1" applyAlignment="1">
      <alignment horizontal="center"/>
    </xf>
    <xf numFmtId="2" fontId="16" fillId="18" borderId="0" xfId="0" quotePrefix="1" applyNumberFormat="1" applyFont="1" applyFill="1"/>
    <xf numFmtId="167" fontId="8" fillId="19" borderId="13" xfId="0" applyNumberFormat="1" applyFont="1" applyFill="1" applyBorder="1"/>
    <xf numFmtId="2" fontId="16" fillId="18" borderId="19" xfId="0" applyNumberFormat="1" applyFont="1" applyFill="1" applyBorder="1"/>
    <xf numFmtId="167" fontId="15" fillId="19" borderId="34" xfId="0" applyNumberFormat="1" applyFont="1" applyFill="1" applyBorder="1"/>
    <xf numFmtId="0" fontId="1" fillId="23" borderId="21" xfId="0" applyFont="1" applyFill="1" applyBorder="1"/>
    <xf numFmtId="0" fontId="1" fillId="23" borderId="15" xfId="0" applyFont="1" applyFill="1" applyBorder="1"/>
    <xf numFmtId="0" fontId="1" fillId="23" borderId="16" xfId="0" applyFont="1" applyFill="1" applyBorder="1"/>
    <xf numFmtId="2" fontId="1" fillId="23" borderId="9" xfId="0" applyNumberFormat="1" applyFont="1" applyFill="1" applyBorder="1"/>
    <xf numFmtId="2" fontId="1" fillId="23" borderId="21" xfId="0" applyNumberFormat="1" applyFont="1" applyFill="1" applyBorder="1" applyAlignment="1">
      <alignment horizontal="right"/>
    </xf>
    <xf numFmtId="167" fontId="1" fillId="22" borderId="15" xfId="0" applyNumberFormat="1" applyFont="1" applyFill="1" applyBorder="1" applyAlignment="1" applyProtection="1">
      <alignment horizontal="center"/>
      <protection locked="0"/>
    </xf>
    <xf numFmtId="2" fontId="1" fillId="23" borderId="18" xfId="0" applyNumberFormat="1" applyFont="1" applyFill="1" applyBorder="1"/>
    <xf numFmtId="2" fontId="1" fillId="23" borderId="0" xfId="0" applyNumberFormat="1" applyFont="1" applyFill="1"/>
    <xf numFmtId="2" fontId="1" fillId="23" borderId="18" xfId="0" applyNumberFormat="1" applyFont="1" applyFill="1" applyBorder="1" applyAlignment="1">
      <alignment horizontal="right"/>
    </xf>
    <xf numFmtId="165" fontId="1" fillId="22" borderId="13" xfId="0" applyNumberFormat="1" applyFont="1" applyFill="1" applyBorder="1" applyAlignment="1" applyProtection="1">
      <alignment horizontal="center"/>
      <protection locked="0"/>
    </xf>
    <xf numFmtId="2" fontId="1" fillId="23" borderId="19" xfId="0" applyNumberFormat="1" applyFont="1" applyFill="1" applyBorder="1" applyAlignment="1">
      <alignment horizontal="right"/>
    </xf>
    <xf numFmtId="168" fontId="1" fillId="22" borderId="14" xfId="0" applyNumberFormat="1" applyFont="1" applyFill="1" applyBorder="1" applyAlignment="1" applyProtection="1">
      <alignment horizontal="center"/>
      <protection locked="0"/>
    </xf>
    <xf numFmtId="165" fontId="1" fillId="23" borderId="17" xfId="0" applyNumberFormat="1" applyFont="1" applyFill="1" applyBorder="1"/>
    <xf numFmtId="1" fontId="1" fillId="22" borderId="31" xfId="0" applyNumberFormat="1" applyFont="1" applyFill="1" applyBorder="1" applyAlignment="1" applyProtection="1">
      <alignment horizontal="center"/>
      <protection locked="0"/>
    </xf>
    <xf numFmtId="2" fontId="1" fillId="23" borderId="17" xfId="0" applyNumberFormat="1" applyFont="1" applyFill="1" applyBorder="1"/>
    <xf numFmtId="168" fontId="15" fillId="19" borderId="31" xfId="0" applyNumberFormat="1" applyFont="1" applyFill="1" applyBorder="1"/>
    <xf numFmtId="2" fontId="1" fillId="23" borderId="21" xfId="0" applyNumberFormat="1" applyFont="1" applyFill="1" applyBorder="1"/>
    <xf numFmtId="2" fontId="36" fillId="23" borderId="29" xfId="0" applyNumberFormat="1" applyFont="1" applyFill="1" applyBorder="1" applyAlignment="1">
      <alignment horizontal="center"/>
    </xf>
    <xf numFmtId="2" fontId="36" fillId="23" borderId="30" xfId="0" applyNumberFormat="1" applyFont="1" applyFill="1" applyBorder="1" applyAlignment="1">
      <alignment horizontal="center"/>
    </xf>
    <xf numFmtId="2" fontId="15" fillId="23" borderId="0" xfId="0" applyNumberFormat="1" applyFont="1" applyFill="1" applyAlignment="1">
      <alignment horizontal="right"/>
    </xf>
    <xf numFmtId="2" fontId="1" fillId="25" borderId="0" xfId="0" applyNumberFormat="1" applyFont="1" applyFill="1" applyAlignment="1" applyProtection="1">
      <alignment horizontal="center"/>
      <protection locked="0"/>
    </xf>
    <xf numFmtId="2" fontId="1" fillId="23" borderId="0" xfId="0" applyNumberFormat="1" applyFont="1" applyFill="1" applyAlignment="1">
      <alignment horizontal="left"/>
    </xf>
    <xf numFmtId="2" fontId="1" fillId="23" borderId="19" xfId="0" applyNumberFormat="1" applyFont="1" applyFill="1" applyBorder="1"/>
    <xf numFmtId="2" fontId="36" fillId="23" borderId="20" xfId="0" applyNumberFormat="1" applyFont="1" applyFill="1" applyBorder="1"/>
    <xf numFmtId="167" fontId="15" fillId="19" borderId="26" xfId="0" applyNumberFormat="1" applyFont="1" applyFill="1" applyBorder="1" applyAlignment="1">
      <alignment horizontal="center"/>
    </xf>
    <xf numFmtId="167" fontId="15" fillId="19" borderId="37" xfId="0" applyNumberFormat="1" applyFont="1" applyFill="1" applyBorder="1" applyAlignment="1">
      <alignment horizontal="center"/>
    </xf>
    <xf numFmtId="2" fontId="16" fillId="23" borderId="18" xfId="0" applyNumberFormat="1" applyFont="1" applyFill="1" applyBorder="1"/>
    <xf numFmtId="167" fontId="8" fillId="19" borderId="22" xfId="0" applyNumberFormat="1" applyFont="1" applyFill="1" applyBorder="1"/>
    <xf numFmtId="2" fontId="1" fillId="23" borderId="32" xfId="0" applyNumberFormat="1" applyFont="1" applyFill="1" applyBorder="1"/>
    <xf numFmtId="2" fontId="16" fillId="23" borderId="19" xfId="0" applyNumberFormat="1" applyFont="1" applyFill="1" applyBorder="1"/>
    <xf numFmtId="167" fontId="15" fillId="19" borderId="38" xfId="0" applyNumberFormat="1" applyFont="1" applyFill="1" applyBorder="1"/>
    <xf numFmtId="2" fontId="1" fillId="23" borderId="20" xfId="0" applyNumberFormat="1" applyFont="1" applyFill="1" applyBorder="1"/>
    <xf numFmtId="2" fontId="1" fillId="23" borderId="25" xfId="0" applyNumberFormat="1" applyFont="1" applyFill="1" applyBorder="1"/>
    <xf numFmtId="2" fontId="5" fillId="32" borderId="0" xfId="0" applyNumberFormat="1" applyFont="1" applyFill="1" applyAlignment="1" applyProtection="1">
      <alignment horizontal="center"/>
      <protection locked="0"/>
    </xf>
    <xf numFmtId="169" fontId="8" fillId="19" borderId="33" xfId="0" applyNumberFormat="1" applyFont="1" applyFill="1" applyBorder="1"/>
    <xf numFmtId="2" fontId="0" fillId="25" borderId="55" xfId="0" applyNumberFormat="1" applyFill="1" applyBorder="1" applyAlignment="1" applyProtection="1">
      <alignment horizontal="left"/>
      <protection locked="0"/>
    </xf>
    <xf numFmtId="0" fontId="1" fillId="23" borderId="26" xfId="0" applyFont="1" applyFill="1" applyBorder="1"/>
    <xf numFmtId="0" fontId="1" fillId="23" borderId="27" xfId="0" applyFont="1" applyFill="1" applyBorder="1"/>
    <xf numFmtId="2" fontId="1" fillId="23" borderId="15" xfId="0" applyNumberFormat="1" applyFont="1" applyFill="1" applyBorder="1" applyAlignment="1">
      <alignment horizontal="right"/>
    </xf>
    <xf numFmtId="2" fontId="1" fillId="23" borderId="15" xfId="0" quotePrefix="1" applyNumberFormat="1" applyFont="1" applyFill="1" applyBorder="1"/>
    <xf numFmtId="166" fontId="8" fillId="19" borderId="22" xfId="0" applyNumberFormat="1" applyFont="1" applyFill="1" applyBorder="1"/>
    <xf numFmtId="2" fontId="1" fillId="23" borderId="15" xfId="0" applyNumberFormat="1" applyFont="1" applyFill="1" applyBorder="1"/>
    <xf numFmtId="2" fontId="1" fillId="23" borderId="16" xfId="0" applyNumberFormat="1" applyFont="1" applyFill="1" applyBorder="1"/>
    <xf numFmtId="166" fontId="8" fillId="19" borderId="33" xfId="0" applyNumberFormat="1" applyFont="1" applyFill="1" applyBorder="1" applyAlignment="1" applyProtection="1">
      <alignment horizontal="center"/>
      <protection locked="0"/>
    </xf>
    <xf numFmtId="2" fontId="0" fillId="25" borderId="58" xfId="0" quotePrefix="1" applyNumberFormat="1" applyFill="1" applyBorder="1" applyProtection="1">
      <protection locked="0"/>
    </xf>
    <xf numFmtId="2" fontId="1" fillId="23" borderId="17" xfId="0" applyNumberFormat="1" applyFont="1" applyFill="1" applyBorder="1" applyAlignment="1">
      <alignment horizontal="right"/>
    </xf>
    <xf numFmtId="2" fontId="8" fillId="19" borderId="33" xfId="0" applyNumberFormat="1" applyFont="1" applyFill="1" applyBorder="1" applyAlignment="1">
      <alignment horizontal="center"/>
    </xf>
    <xf numFmtId="10" fontId="1" fillId="22" borderId="0" xfId="2" applyNumberFormat="1" applyFont="1" applyFill="1" applyBorder="1" applyAlignment="1" applyProtection="1">
      <alignment horizontal="center"/>
      <protection locked="0"/>
    </xf>
    <xf numFmtId="10" fontId="1" fillId="22" borderId="20" xfId="2" applyNumberFormat="1" applyFont="1" applyFill="1" applyBorder="1" applyAlignment="1" applyProtection="1">
      <alignment horizontal="center"/>
      <protection locked="0"/>
    </xf>
    <xf numFmtId="2" fontId="8" fillId="18" borderId="77" xfId="0" applyNumberFormat="1" applyFont="1" applyFill="1" applyBorder="1"/>
    <xf numFmtId="2" fontId="8" fillId="18" borderId="7" xfId="0" applyNumberFormat="1" applyFont="1" applyFill="1" applyBorder="1"/>
    <xf numFmtId="2" fontId="8" fillId="18" borderId="78" xfId="0" applyNumberFormat="1" applyFont="1" applyFill="1" applyBorder="1"/>
    <xf numFmtId="2" fontId="7" fillId="18" borderId="21" xfId="0" applyNumberFormat="1" applyFont="1" applyFill="1" applyBorder="1"/>
    <xf numFmtId="2" fontId="7" fillId="18" borderId="15" xfId="0" applyNumberFormat="1" applyFont="1" applyFill="1" applyBorder="1"/>
    <xf numFmtId="2" fontId="7" fillId="18" borderId="16" xfId="0" applyNumberFormat="1" applyFont="1" applyFill="1" applyBorder="1"/>
    <xf numFmtId="173" fontId="7" fillId="18" borderId="0" xfId="0" applyNumberFormat="1" applyFont="1" applyFill="1" applyAlignment="1" applyProtection="1">
      <alignment horizontal="center"/>
      <protection locked="0"/>
    </xf>
    <xf numFmtId="2" fontId="7" fillId="18" borderId="0" xfId="0" applyNumberFormat="1" applyFont="1" applyFill="1" applyAlignment="1" applyProtection="1">
      <alignment horizontal="center"/>
      <protection locked="0"/>
    </xf>
    <xf numFmtId="170" fontId="7" fillId="18" borderId="0" xfId="1" applyNumberFormat="1" applyFont="1" applyFill="1" applyBorder="1" applyAlignment="1" applyProtection="1">
      <alignment horizontal="right"/>
      <protection locked="0"/>
    </xf>
    <xf numFmtId="2" fontId="53" fillId="18" borderId="17" xfId="0" applyNumberFormat="1" applyFont="1" applyFill="1" applyBorder="1" applyProtection="1">
      <protection locked="0"/>
    </xf>
    <xf numFmtId="170" fontId="7" fillId="18" borderId="46" xfId="1" applyNumberFormat="1" applyFont="1" applyFill="1" applyBorder="1" applyAlignment="1" applyProtection="1">
      <alignment horizontal="right"/>
      <protection locked="0"/>
    </xf>
    <xf numFmtId="2" fontId="7" fillId="18" borderId="17" xfId="0" quotePrefix="1" applyNumberFormat="1" applyFont="1" applyFill="1" applyBorder="1"/>
    <xf numFmtId="2" fontId="15" fillId="18" borderId="33" xfId="0" applyNumberFormat="1" applyFont="1" applyFill="1" applyBorder="1" applyAlignment="1">
      <alignment horizontal="center"/>
    </xf>
    <xf numFmtId="2" fontId="7" fillId="18" borderId="17" xfId="0" applyNumberFormat="1" applyFont="1" applyFill="1" applyBorder="1"/>
    <xf numFmtId="2" fontId="8" fillId="18" borderId="0" xfId="0" applyNumberFormat="1" applyFont="1" applyFill="1"/>
    <xf numFmtId="10" fontId="7" fillId="18" borderId="0" xfId="0" applyNumberFormat="1" applyFont="1" applyFill="1" applyAlignment="1" applyProtection="1">
      <alignment horizontal="center"/>
      <protection locked="0"/>
    </xf>
    <xf numFmtId="10" fontId="1" fillId="18" borderId="0" xfId="0" applyNumberFormat="1" applyFont="1" applyFill="1" applyAlignment="1">
      <alignment horizontal="center"/>
    </xf>
    <xf numFmtId="10" fontId="1" fillId="18" borderId="46" xfId="0" applyNumberFormat="1" applyFont="1" applyFill="1" applyBorder="1" applyAlignment="1">
      <alignment horizontal="center"/>
    </xf>
    <xf numFmtId="9" fontId="8" fillId="18" borderId="17" xfId="0" applyNumberFormat="1" applyFont="1" applyFill="1" applyBorder="1" applyAlignment="1">
      <alignment horizontal="center"/>
    </xf>
    <xf numFmtId="10" fontId="1" fillId="18" borderId="20" xfId="2" applyNumberFormat="1" applyFont="1" applyFill="1" applyBorder="1" applyAlignment="1" applyProtection="1">
      <alignment horizontal="center"/>
    </xf>
    <xf numFmtId="2" fontId="7" fillId="18" borderId="25" xfId="0" applyNumberFormat="1" applyFont="1" applyFill="1" applyBorder="1"/>
    <xf numFmtId="2" fontId="8" fillId="16" borderId="2" xfId="0" applyNumberFormat="1" applyFont="1" applyFill="1" applyBorder="1"/>
    <xf numFmtId="2" fontId="7" fillId="16" borderId="9" xfId="0" applyNumberFormat="1" applyFont="1" applyFill="1" applyBorder="1"/>
    <xf numFmtId="2" fontId="0" fillId="16" borderId="3" xfId="0" applyNumberFormat="1" applyFill="1" applyBorder="1"/>
    <xf numFmtId="2" fontId="7" fillId="16" borderId="21" xfId="0" applyNumberFormat="1" applyFont="1" applyFill="1" applyBorder="1"/>
    <xf numFmtId="2" fontId="8" fillId="22" borderId="0" xfId="0" applyNumberFormat="1" applyFont="1" applyFill="1" applyAlignment="1" applyProtection="1">
      <alignment horizontal="center"/>
      <protection locked="0"/>
    </xf>
    <xf numFmtId="170" fontId="8" fillId="22" borderId="0" xfId="1" applyNumberFormat="1" applyFont="1" applyFill="1" applyBorder="1" applyAlignment="1" applyProtection="1">
      <alignment horizontal="right"/>
      <protection locked="0"/>
    </xf>
    <xf numFmtId="2" fontId="11" fillId="22" borderId="17" xfId="0" applyNumberFormat="1" applyFont="1" applyFill="1" applyBorder="1" applyProtection="1">
      <protection locked="0"/>
    </xf>
    <xf numFmtId="170" fontId="8" fillId="22" borderId="46" xfId="1" applyNumberFormat="1" applyFont="1" applyFill="1" applyBorder="1" applyAlignment="1" applyProtection="1">
      <alignment horizontal="right"/>
      <protection locked="0"/>
    </xf>
    <xf numFmtId="2" fontId="0" fillId="16" borderId="17" xfId="0" quotePrefix="1" applyNumberFormat="1" applyFill="1" applyBorder="1"/>
    <xf numFmtId="2" fontId="6" fillId="32" borderId="17" xfId="0" applyNumberFormat="1" applyFont="1" applyFill="1" applyBorder="1" applyAlignment="1">
      <alignment horizontal="center"/>
    </xf>
    <xf numFmtId="9" fontId="6" fillId="32" borderId="25" xfId="0" applyNumberFormat="1" applyFont="1" applyFill="1" applyBorder="1" applyAlignment="1">
      <alignment horizontal="center"/>
    </xf>
    <xf numFmtId="2" fontId="53" fillId="27" borderId="0" xfId="0" applyNumberFormat="1" applyFont="1" applyFill="1" applyProtection="1">
      <protection locked="0"/>
    </xf>
    <xf numFmtId="2" fontId="53" fillId="22" borderId="0" xfId="0" applyNumberFormat="1" applyFont="1" applyFill="1" applyAlignment="1" applyProtection="1">
      <alignment horizontal="left"/>
      <protection locked="0"/>
    </xf>
    <xf numFmtId="2" fontId="1" fillId="22" borderId="0" xfId="0" applyNumberFormat="1" applyFont="1" applyFill="1" applyAlignment="1">
      <alignment horizontal="left"/>
    </xf>
    <xf numFmtId="2" fontId="7" fillId="22" borderId="0" xfId="0" quotePrefix="1" applyNumberFormat="1" applyFont="1" applyFill="1" applyAlignment="1" applyProtection="1">
      <alignment horizontal="left"/>
      <protection locked="0"/>
    </xf>
    <xf numFmtId="4" fontId="15" fillId="24" borderId="0" xfId="0" applyNumberFormat="1" applyFont="1" applyFill="1" applyAlignment="1" applyProtection="1">
      <alignment horizontal="center"/>
      <protection locked="0"/>
    </xf>
    <xf numFmtId="4" fontId="58" fillId="11" borderId="0" xfId="0" applyNumberFormat="1" applyFont="1" applyFill="1" applyAlignment="1" applyProtection="1">
      <alignment horizontal="center"/>
      <protection locked="0"/>
    </xf>
    <xf numFmtId="2" fontId="8" fillId="22" borderId="23" xfId="0" applyNumberFormat="1" applyFont="1" applyFill="1" applyBorder="1" applyAlignment="1" applyProtection="1">
      <alignment horizontal="center"/>
      <protection locked="0"/>
    </xf>
    <xf numFmtId="2" fontId="8" fillId="22" borderId="17" xfId="0" applyNumberFormat="1" applyFont="1" applyFill="1" applyBorder="1" applyAlignment="1" applyProtection="1">
      <alignment horizontal="center"/>
      <protection locked="0"/>
    </xf>
    <xf numFmtId="173" fontId="8" fillId="24" borderId="0" xfId="0" applyNumberFormat="1" applyFont="1" applyFill="1" applyAlignment="1" applyProtection="1">
      <alignment horizontal="center"/>
      <protection locked="0"/>
    </xf>
    <xf numFmtId="10" fontId="8" fillId="24" borderId="0" xfId="0" applyNumberFormat="1" applyFont="1" applyFill="1" applyAlignment="1" applyProtection="1">
      <alignment horizontal="center"/>
      <protection locked="0"/>
    </xf>
    <xf numFmtId="3" fontId="8" fillId="27" borderId="0" xfId="0" applyNumberFormat="1" applyFont="1" applyFill="1" applyAlignment="1" applyProtection="1">
      <alignment horizontal="center"/>
      <protection locked="0"/>
    </xf>
    <xf numFmtId="168" fontId="54" fillId="24" borderId="36" xfId="0" applyNumberFormat="1" applyFont="1" applyFill="1" applyBorder="1" applyAlignment="1" applyProtection="1">
      <alignment horizontal="left"/>
      <protection locked="0"/>
    </xf>
    <xf numFmtId="168" fontId="8" fillId="24" borderId="43" xfId="0" applyNumberFormat="1" applyFont="1" applyFill="1" applyBorder="1" applyAlignment="1" applyProtection="1">
      <alignment horizontal="left"/>
      <protection locked="0"/>
    </xf>
    <xf numFmtId="166" fontId="8" fillId="22" borderId="15" xfId="0" applyNumberFormat="1" applyFont="1" applyFill="1" applyBorder="1" applyAlignment="1" applyProtection="1">
      <alignment horizontal="center"/>
      <protection locked="0"/>
    </xf>
    <xf numFmtId="166" fontId="8" fillId="22" borderId="30" xfId="0" applyNumberFormat="1" applyFont="1" applyFill="1" applyBorder="1" applyAlignment="1" applyProtection="1">
      <alignment horizontal="center"/>
      <protection locked="0"/>
    </xf>
    <xf numFmtId="2" fontId="8" fillId="22" borderId="25" xfId="0" applyNumberFormat="1" applyFont="1" applyFill="1" applyBorder="1" applyAlignment="1" applyProtection="1">
      <alignment horizontal="center"/>
      <protection locked="0"/>
    </xf>
    <xf numFmtId="1" fontId="8" fillId="22" borderId="0" xfId="0" applyNumberFormat="1" applyFont="1" applyFill="1" applyAlignment="1" applyProtection="1">
      <alignment horizontal="center"/>
      <protection locked="0"/>
    </xf>
    <xf numFmtId="169" fontId="8" fillId="22" borderId="15" xfId="0" applyNumberFormat="1" applyFont="1" applyFill="1" applyBorder="1" applyProtection="1">
      <protection locked="0"/>
    </xf>
    <xf numFmtId="2" fontId="8" fillId="22" borderId="6" xfId="0" applyNumberFormat="1" applyFont="1" applyFill="1" applyBorder="1" applyAlignment="1" applyProtection="1">
      <alignment horizontal="center"/>
      <protection locked="0"/>
    </xf>
    <xf numFmtId="2" fontId="7" fillId="22" borderId="15" xfId="0" quotePrefix="1" applyNumberFormat="1" applyFont="1" applyFill="1" applyBorder="1" applyProtection="1">
      <protection locked="0"/>
    </xf>
    <xf numFmtId="2" fontId="7" fillId="22" borderId="20" xfId="0" quotePrefix="1" applyNumberFormat="1" applyFont="1" applyFill="1" applyBorder="1" applyProtection="1">
      <protection locked="0"/>
    </xf>
    <xf numFmtId="0" fontId="1" fillId="16" borderId="21" xfId="0" applyFont="1" applyFill="1" applyBorder="1"/>
    <xf numFmtId="0" fontId="1" fillId="16" borderId="15" xfId="0" applyFont="1" applyFill="1" applyBorder="1"/>
    <xf numFmtId="0" fontId="1" fillId="16" borderId="16" xfId="0" applyFont="1" applyFill="1" applyBorder="1"/>
    <xf numFmtId="2" fontId="1" fillId="16" borderId="9" xfId="0" applyNumberFormat="1" applyFont="1" applyFill="1" applyBorder="1"/>
    <xf numFmtId="2" fontId="1" fillId="16" borderId="21" xfId="0" applyNumberFormat="1" applyFont="1" applyFill="1" applyBorder="1" applyAlignment="1">
      <alignment horizontal="right"/>
    </xf>
    <xf numFmtId="167" fontId="8" fillId="22" borderId="15" xfId="0" applyNumberFormat="1" applyFont="1" applyFill="1" applyBorder="1" applyAlignment="1" applyProtection="1">
      <alignment horizontal="center"/>
      <protection locked="0"/>
    </xf>
    <xf numFmtId="167" fontId="8" fillId="22" borderId="30" xfId="0" applyNumberFormat="1" applyFont="1" applyFill="1" applyBorder="1" applyAlignment="1" applyProtection="1">
      <alignment horizontal="center"/>
      <protection locked="0"/>
    </xf>
    <xf numFmtId="2" fontId="1" fillId="16" borderId="18" xfId="0" applyNumberFormat="1" applyFont="1" applyFill="1" applyBorder="1"/>
    <xf numFmtId="2" fontId="1" fillId="16" borderId="0" xfId="0" applyNumberFormat="1" applyFont="1" applyFill="1"/>
    <xf numFmtId="2" fontId="1" fillId="16" borderId="18" xfId="0" applyNumberFormat="1" applyFont="1" applyFill="1" applyBorder="1" applyAlignment="1">
      <alignment horizontal="right"/>
    </xf>
    <xf numFmtId="2" fontId="1" fillId="16" borderId="0" xfId="0" applyNumberFormat="1" applyFont="1" applyFill="1" applyAlignment="1">
      <alignment horizontal="right"/>
    </xf>
    <xf numFmtId="165" fontId="8" fillId="22" borderId="13" xfId="0" applyNumberFormat="1" applyFont="1" applyFill="1" applyBorder="1" applyAlignment="1" applyProtection="1">
      <alignment horizontal="center"/>
      <protection locked="0"/>
    </xf>
    <xf numFmtId="2" fontId="1" fillId="16" borderId="19" xfId="0" applyNumberFormat="1" applyFont="1" applyFill="1" applyBorder="1" applyAlignment="1">
      <alignment horizontal="right"/>
    </xf>
    <xf numFmtId="167" fontId="8" fillId="22" borderId="25" xfId="0" applyNumberFormat="1" applyFont="1" applyFill="1" applyBorder="1" applyAlignment="1" applyProtection="1">
      <alignment horizontal="center"/>
      <protection locked="0"/>
    </xf>
    <xf numFmtId="168" fontId="8" fillId="22" borderId="14" xfId="0" applyNumberFormat="1" applyFont="1" applyFill="1" applyBorder="1" applyAlignment="1" applyProtection="1">
      <alignment horizontal="center"/>
      <protection locked="0"/>
    </xf>
    <xf numFmtId="165" fontId="1" fillId="16" borderId="17" xfId="0" applyNumberFormat="1" applyFont="1" applyFill="1" applyBorder="1"/>
    <xf numFmtId="1" fontId="8" fillId="22" borderId="31" xfId="0" applyNumberFormat="1" applyFont="1" applyFill="1" applyBorder="1" applyAlignment="1" applyProtection="1">
      <alignment horizontal="center"/>
      <protection locked="0"/>
    </xf>
    <xf numFmtId="2" fontId="1" fillId="16" borderId="17" xfId="0" applyNumberFormat="1" applyFont="1" applyFill="1" applyBorder="1"/>
    <xf numFmtId="2" fontId="1" fillId="16" borderId="21" xfId="0" applyNumberFormat="1" applyFont="1" applyFill="1" applyBorder="1"/>
    <xf numFmtId="2" fontId="1" fillId="16" borderId="0" xfId="0" applyNumberFormat="1" applyFont="1" applyFill="1" applyAlignment="1">
      <alignment horizontal="left"/>
    </xf>
    <xf numFmtId="2" fontId="1" fillId="16" borderId="19" xfId="0" applyNumberFormat="1" applyFont="1" applyFill="1" applyBorder="1"/>
    <xf numFmtId="2" fontId="1" fillId="16" borderId="32" xfId="0" applyNumberFormat="1" applyFont="1" applyFill="1" applyBorder="1"/>
    <xf numFmtId="2" fontId="1" fillId="16" borderId="20" xfId="0" applyNumberFormat="1" applyFont="1" applyFill="1" applyBorder="1"/>
    <xf numFmtId="2" fontId="1" fillId="16" borderId="25" xfId="0" applyNumberFormat="1" applyFont="1" applyFill="1" applyBorder="1"/>
    <xf numFmtId="2" fontId="7" fillId="22" borderId="0" xfId="0" quotePrefix="1" applyNumberFormat="1" applyFont="1" applyFill="1" applyProtection="1">
      <protection locked="0"/>
    </xf>
    <xf numFmtId="2" fontId="8" fillId="16" borderId="21" xfId="0" quotePrefix="1" applyNumberFormat="1" applyFont="1" applyFill="1" applyBorder="1"/>
    <xf numFmtId="2" fontId="16" fillId="16" borderId="15" xfId="0" applyNumberFormat="1" applyFont="1" applyFill="1" applyBorder="1"/>
    <xf numFmtId="2" fontId="7" fillId="22" borderId="27" xfId="0" quotePrefix="1" applyNumberFormat="1" applyFont="1" applyFill="1" applyBorder="1" applyProtection="1">
      <protection locked="0"/>
    </xf>
    <xf numFmtId="2" fontId="1" fillId="22" borderId="15" xfId="0" applyNumberFormat="1" applyFont="1" applyFill="1" applyBorder="1" applyAlignment="1">
      <alignment horizontal="center"/>
    </xf>
    <xf numFmtId="2" fontId="1" fillId="16" borderId="15" xfId="0" applyNumberFormat="1" applyFont="1" applyFill="1" applyBorder="1" applyAlignment="1">
      <alignment horizontal="right"/>
    </xf>
    <xf numFmtId="2" fontId="1" fillId="16" borderId="15" xfId="0" applyNumberFormat="1" applyFont="1" applyFill="1" applyBorder="1" applyAlignment="1">
      <alignment horizontal="left"/>
    </xf>
    <xf numFmtId="166" fontId="5" fillId="32" borderId="22" xfId="0" applyNumberFormat="1" applyFont="1" applyFill="1" applyBorder="1"/>
    <xf numFmtId="2" fontId="1" fillId="16" borderId="15" xfId="0" applyNumberFormat="1" applyFont="1" applyFill="1" applyBorder="1"/>
    <xf numFmtId="2" fontId="1" fillId="16" borderId="16" xfId="0" applyNumberFormat="1" applyFont="1" applyFill="1" applyBorder="1"/>
    <xf numFmtId="169" fontId="5" fillId="32" borderId="38" xfId="0" applyNumberFormat="1" applyFont="1" applyFill="1" applyBorder="1"/>
    <xf numFmtId="2" fontId="7" fillId="16" borderId="21" xfId="0" applyNumberFormat="1" applyFont="1" applyFill="1" applyBorder="1" applyAlignment="1">
      <alignment horizontal="right"/>
    </xf>
    <xf numFmtId="2" fontId="15" fillId="16" borderId="15" xfId="0" applyNumberFormat="1" applyFont="1" applyFill="1" applyBorder="1" applyAlignment="1">
      <alignment horizontal="center"/>
    </xf>
    <xf numFmtId="0" fontId="1" fillId="16" borderId="18" xfId="0" applyFont="1" applyFill="1" applyBorder="1"/>
    <xf numFmtId="4" fontId="5" fillId="32" borderId="33" xfId="0" applyNumberFormat="1" applyFont="1" applyFill="1" applyBorder="1" applyAlignment="1">
      <alignment horizontal="center"/>
    </xf>
    <xf numFmtId="2" fontId="1" fillId="16" borderId="20" xfId="0" applyNumberFormat="1" applyFont="1" applyFill="1" applyBorder="1" applyAlignment="1">
      <alignment horizontal="left"/>
    </xf>
    <xf numFmtId="2" fontId="1" fillId="16" borderId="20" xfId="0" applyNumberFormat="1" applyFont="1" applyFill="1" applyBorder="1" applyAlignment="1">
      <alignment horizontal="right"/>
    </xf>
    <xf numFmtId="10" fontId="8" fillId="22" borderId="0" xfId="2" applyNumberFormat="1" applyFont="1" applyFill="1" applyBorder="1" applyAlignment="1" applyProtection="1">
      <alignment horizontal="center"/>
      <protection locked="0"/>
    </xf>
    <xf numFmtId="2" fontId="8" fillId="16" borderId="77" xfId="0" applyNumberFormat="1" applyFont="1" applyFill="1" applyBorder="1"/>
    <xf numFmtId="2" fontId="8" fillId="16" borderId="7" xfId="0" applyNumberFormat="1" applyFont="1" applyFill="1" applyBorder="1"/>
    <xf numFmtId="2" fontId="8" fillId="16" borderId="78" xfId="0" applyNumberFormat="1" applyFont="1" applyFill="1" applyBorder="1"/>
    <xf numFmtId="173" fontId="7" fillId="16" borderId="0" xfId="0" applyNumberFormat="1" applyFont="1" applyFill="1" applyAlignment="1" applyProtection="1">
      <alignment horizontal="center"/>
      <protection locked="0"/>
    </xf>
    <xf numFmtId="2" fontId="7" fillId="16" borderId="0" xfId="0" applyNumberFormat="1" applyFont="1" applyFill="1" applyAlignment="1" applyProtection="1">
      <alignment horizontal="center"/>
      <protection locked="0"/>
    </xf>
    <xf numFmtId="170" fontId="7" fillId="16" borderId="0" xfId="1" applyNumberFormat="1" applyFont="1" applyFill="1" applyBorder="1" applyAlignment="1" applyProtection="1">
      <alignment horizontal="right"/>
      <protection locked="0"/>
    </xf>
    <xf numFmtId="2" fontId="55" fillId="16" borderId="17" xfId="0" applyNumberFormat="1" applyFont="1" applyFill="1" applyBorder="1" applyProtection="1">
      <protection locked="0"/>
    </xf>
    <xf numFmtId="170" fontId="7" fillId="16" borderId="46" xfId="1" applyNumberFormat="1" applyFont="1" applyFill="1" applyBorder="1" applyAlignment="1" applyProtection="1">
      <alignment horizontal="right"/>
      <protection locked="0"/>
    </xf>
    <xf numFmtId="10" fontId="7" fillId="16" borderId="0" xfId="0" applyNumberFormat="1" applyFont="1" applyFill="1" applyAlignment="1" applyProtection="1">
      <alignment horizontal="center"/>
      <protection locked="0"/>
    </xf>
    <xf numFmtId="2" fontId="1" fillId="25" borderId="0" xfId="0" quotePrefix="1" applyNumberFormat="1" applyFont="1" applyFill="1" applyProtection="1">
      <protection locked="0"/>
    </xf>
    <xf numFmtId="2" fontId="1" fillId="25" borderId="55" xfId="0" quotePrefix="1" applyNumberFormat="1" applyFont="1" applyFill="1" applyBorder="1" applyProtection="1">
      <protection locked="0"/>
    </xf>
    <xf numFmtId="2" fontId="1" fillId="25" borderId="18" xfId="0" quotePrefix="1" applyNumberFormat="1" applyFont="1" applyFill="1" applyBorder="1" applyProtection="1">
      <protection locked="0"/>
    </xf>
    <xf numFmtId="2" fontId="1" fillId="25" borderId="69" xfId="0" quotePrefix="1" applyNumberFormat="1" applyFont="1" applyFill="1" applyBorder="1" applyProtection="1">
      <protection locked="0"/>
    </xf>
    <xf numFmtId="168" fontId="88" fillId="19" borderId="20" xfId="0" applyNumberFormat="1" applyFont="1" applyFill="1" applyBorder="1"/>
    <xf numFmtId="2" fontId="95" fillId="48" borderId="0" xfId="0" applyNumberFormat="1" applyFont="1" applyFill="1" applyAlignment="1" applyProtection="1">
      <alignment horizontal="center"/>
      <protection locked="0"/>
    </xf>
    <xf numFmtId="168" fontId="95" fillId="48" borderId="0" xfId="0" applyNumberFormat="1" applyFont="1" applyFill="1" applyAlignment="1" applyProtection="1">
      <alignment horizontal="center"/>
      <protection locked="0"/>
    </xf>
    <xf numFmtId="167" fontId="95" fillId="48" borderId="33" xfId="0" quotePrefix="1" applyNumberFormat="1" applyFont="1" applyFill="1" applyBorder="1" applyAlignment="1">
      <alignment horizontal="center"/>
    </xf>
    <xf numFmtId="164" fontId="95" fillId="48" borderId="33" xfId="1" applyFont="1" applyFill="1" applyBorder="1" applyAlignment="1" applyProtection="1">
      <alignment horizontal="center"/>
    </xf>
    <xf numFmtId="2" fontId="90" fillId="48" borderId="0" xfId="0" applyNumberFormat="1" applyFont="1" applyFill="1" applyAlignment="1">
      <alignment horizontal="center"/>
    </xf>
    <xf numFmtId="2" fontId="90" fillId="48" borderId="15" xfId="0" applyNumberFormat="1" applyFont="1" applyFill="1" applyBorder="1" applyAlignment="1">
      <alignment horizontal="center"/>
    </xf>
    <xf numFmtId="1" fontId="89" fillId="22" borderId="0" xfId="0" applyNumberFormat="1" applyFont="1" applyFill="1" applyAlignment="1">
      <alignment horizontal="center"/>
    </xf>
    <xf numFmtId="176" fontId="90" fillId="22" borderId="54" xfId="1" applyNumberFormat="1" applyFont="1" applyFill="1" applyBorder="1" applyAlignment="1" applyProtection="1">
      <alignment horizontal="center"/>
    </xf>
    <xf numFmtId="176" fontId="90" fillId="22" borderId="55" xfId="1" applyNumberFormat="1" applyFont="1" applyFill="1" applyBorder="1" applyAlignment="1" applyProtection="1">
      <alignment horizontal="center"/>
    </xf>
    <xf numFmtId="10" fontId="95" fillId="48" borderId="0" xfId="0" applyNumberFormat="1" applyFont="1" applyFill="1" applyAlignment="1">
      <alignment horizontal="center"/>
    </xf>
    <xf numFmtId="173" fontId="95" fillId="48" borderId="0" xfId="0" applyNumberFormat="1" applyFont="1" applyFill="1" applyAlignment="1">
      <alignment horizontal="center"/>
    </xf>
    <xf numFmtId="3" fontId="95" fillId="48" borderId="0" xfId="0" applyNumberFormat="1" applyFont="1" applyFill="1" applyAlignment="1">
      <alignment horizontal="center"/>
    </xf>
    <xf numFmtId="2" fontId="95" fillId="48" borderId="17" xfId="0" applyNumberFormat="1" applyFont="1" applyFill="1" applyBorder="1" applyAlignment="1">
      <alignment horizontal="center"/>
    </xf>
    <xf numFmtId="2" fontId="95" fillId="48" borderId="0" xfId="0" applyNumberFormat="1" applyFont="1" applyFill="1" applyAlignment="1">
      <alignment horizontal="center"/>
    </xf>
    <xf numFmtId="170" fontId="95" fillId="48" borderId="0" xfId="1" applyNumberFormat="1" applyFont="1" applyFill="1" applyBorder="1" applyAlignment="1" applyProtection="1">
      <alignment horizontal="right"/>
    </xf>
    <xf numFmtId="4" fontId="95" fillId="48" borderId="0" xfId="0" applyNumberFormat="1" applyFont="1" applyFill="1" applyAlignment="1">
      <alignment horizontal="center"/>
    </xf>
    <xf numFmtId="2" fontId="95" fillId="48" borderId="23" xfId="0" applyNumberFormat="1" applyFont="1" applyFill="1" applyBorder="1" applyAlignment="1">
      <alignment horizontal="center"/>
    </xf>
    <xf numFmtId="2" fontId="15" fillId="56" borderId="18" xfId="0" applyNumberFormat="1" applyFont="1" applyFill="1" applyBorder="1"/>
    <xf numFmtId="2" fontId="15" fillId="56" borderId="0" xfId="0" applyNumberFormat="1" applyFont="1" applyFill="1" applyAlignment="1">
      <alignment horizontal="right"/>
    </xf>
    <xf numFmtId="2" fontId="1" fillId="56" borderId="0" xfId="0" applyNumberFormat="1" applyFont="1" applyFill="1"/>
    <xf numFmtId="2" fontId="0" fillId="56" borderId="0" xfId="0" applyNumberFormat="1" applyFill="1"/>
    <xf numFmtId="2" fontId="0" fillId="56" borderId="17" xfId="0" applyNumberFormat="1" applyFill="1" applyBorder="1"/>
    <xf numFmtId="2" fontId="1" fillId="56" borderId="20" xfId="0" applyNumberFormat="1" applyFont="1" applyFill="1" applyBorder="1"/>
    <xf numFmtId="2" fontId="0" fillId="56" borderId="20" xfId="0" applyNumberFormat="1" applyFill="1" applyBorder="1"/>
    <xf numFmtId="2" fontId="0" fillId="56" borderId="25" xfId="0" applyNumberFormat="1" applyFill="1" applyBorder="1"/>
    <xf numFmtId="2" fontId="36" fillId="56" borderId="0" xfId="0" applyNumberFormat="1" applyFont="1" applyFill="1" applyAlignment="1">
      <alignment horizontal="left"/>
    </xf>
    <xf numFmtId="167" fontId="89" fillId="22" borderId="0" xfId="0" applyNumberFormat="1" applyFont="1" applyFill="1" applyAlignment="1" applyProtection="1">
      <alignment horizontal="center"/>
      <protection locked="0"/>
    </xf>
    <xf numFmtId="2" fontId="88" fillId="19" borderId="73" xfId="0" applyNumberFormat="1" applyFont="1" applyFill="1" applyBorder="1" applyAlignment="1">
      <alignment horizontal="center"/>
    </xf>
    <xf numFmtId="2" fontId="0" fillId="46" borderId="18" xfId="0" applyNumberFormat="1" applyFill="1" applyBorder="1" applyAlignment="1">
      <alignment horizontal="right"/>
    </xf>
    <xf numFmtId="2" fontId="1" fillId="46" borderId="18" xfId="0" applyNumberFormat="1" applyFont="1" applyFill="1" applyBorder="1" applyAlignment="1">
      <alignment horizontal="right"/>
    </xf>
    <xf numFmtId="2" fontId="0" fillId="46" borderId="0" xfId="0" applyNumberFormat="1" applyFill="1" applyAlignment="1">
      <alignment horizontal="right"/>
    </xf>
    <xf numFmtId="2" fontId="0" fillId="46" borderId="18" xfId="0" applyNumberFormat="1" applyFill="1" applyBorder="1"/>
    <xf numFmtId="0" fontId="0" fillId="46" borderId="19" xfId="0" applyFill="1" applyBorder="1" applyAlignment="1">
      <alignment horizontal="right"/>
    </xf>
    <xf numFmtId="2" fontId="8" fillId="46" borderId="18" xfId="0" applyNumberFormat="1" applyFont="1" applyFill="1" applyBorder="1" applyAlignment="1">
      <alignment horizontal="right"/>
    </xf>
    <xf numFmtId="2" fontId="15" fillId="46" borderId="0" xfId="0" applyNumberFormat="1" applyFont="1" applyFill="1" applyAlignment="1">
      <alignment horizontal="left"/>
    </xf>
    <xf numFmtId="0" fontId="0" fillId="46" borderId="0" xfId="0" applyFill="1"/>
    <xf numFmtId="2" fontId="73" fillId="46" borderId="0" xfId="0" quotePrefix="1" applyNumberFormat="1" applyFont="1" applyFill="1" applyAlignment="1">
      <alignment horizontal="center"/>
    </xf>
    <xf numFmtId="2" fontId="73" fillId="46" borderId="20" xfId="0" quotePrefix="1" applyNumberFormat="1" applyFont="1" applyFill="1" applyBorder="1" applyAlignment="1">
      <alignment horizontal="center"/>
    </xf>
    <xf numFmtId="2" fontId="0" fillId="46" borderId="20" xfId="0" applyNumberFormat="1" applyFill="1" applyBorder="1" applyAlignment="1">
      <alignment horizontal="right"/>
    </xf>
    <xf numFmtId="0" fontId="0" fillId="46" borderId="20" xfId="0" applyFill="1" applyBorder="1"/>
    <xf numFmtId="2" fontId="0" fillId="57" borderId="74" xfId="0" applyNumberFormat="1" applyFill="1" applyBorder="1" applyAlignment="1">
      <alignment horizontal="right"/>
    </xf>
    <xf numFmtId="2" fontId="8" fillId="48" borderId="15" xfId="0" applyNumberFormat="1" applyFont="1" applyFill="1" applyBorder="1" applyAlignment="1" applyProtection="1">
      <alignment horizontal="center"/>
      <protection locked="0"/>
    </xf>
    <xf numFmtId="2" fontId="90" fillId="48" borderId="0" xfId="0" applyNumberFormat="1" applyFont="1" applyFill="1" applyAlignment="1" applyProtection="1">
      <alignment horizontal="center"/>
      <protection locked="0"/>
    </xf>
    <xf numFmtId="168" fontId="92" fillId="48" borderId="0" xfId="0" applyNumberFormat="1" applyFont="1" applyFill="1" applyAlignment="1" applyProtection="1">
      <alignment horizontal="center"/>
      <protection locked="0"/>
    </xf>
    <xf numFmtId="2" fontId="15" fillId="48" borderId="0" xfId="0" applyNumberFormat="1" applyFont="1" applyFill="1" applyAlignment="1" applyProtection="1">
      <alignment horizontal="center"/>
      <protection locked="0"/>
    </xf>
    <xf numFmtId="175" fontId="90" fillId="22" borderId="54" xfId="0" applyNumberFormat="1" applyFont="1" applyFill="1" applyBorder="1" applyAlignment="1" applyProtection="1">
      <alignment horizontal="center"/>
      <protection locked="0"/>
    </xf>
    <xf numFmtId="175" fontId="90" fillId="22" borderId="55" xfId="0" applyNumberFormat="1" applyFont="1" applyFill="1" applyBorder="1" applyAlignment="1" applyProtection="1">
      <alignment horizontal="center"/>
      <protection locked="0"/>
    </xf>
    <xf numFmtId="1" fontId="95" fillId="48" borderId="0" xfId="0" applyNumberFormat="1" applyFont="1" applyFill="1" applyAlignment="1" applyProtection="1">
      <alignment horizontal="center"/>
      <protection locked="0"/>
    </xf>
    <xf numFmtId="10" fontId="90" fillId="22" borderId="0" xfId="2" applyNumberFormat="1" applyFont="1" applyFill="1" applyBorder="1" applyAlignment="1" applyProtection="1">
      <alignment horizontal="center"/>
      <protection locked="0"/>
    </xf>
    <xf numFmtId="10" fontId="90" fillId="22" borderId="20" xfId="2" applyNumberFormat="1" applyFont="1" applyFill="1" applyBorder="1" applyAlignment="1" applyProtection="1">
      <alignment horizontal="center"/>
      <protection locked="0"/>
    </xf>
    <xf numFmtId="2" fontId="40" fillId="58" borderId="74" xfId="0" applyNumberFormat="1" applyFont="1" applyFill="1" applyBorder="1" applyAlignment="1">
      <alignment horizontal="right"/>
    </xf>
    <xf numFmtId="2" fontId="0" fillId="58" borderId="71" xfId="0" applyNumberFormat="1" applyFill="1" applyBorder="1"/>
    <xf numFmtId="2" fontId="77" fillId="58" borderId="21" xfId="0" applyNumberFormat="1" applyFont="1" applyFill="1" applyBorder="1"/>
    <xf numFmtId="2" fontId="77" fillId="58" borderId="15" xfId="0" applyNumberFormat="1" applyFont="1" applyFill="1" applyBorder="1" applyAlignment="1">
      <alignment horizontal="right"/>
    </xf>
    <xf numFmtId="2" fontId="77" fillId="58" borderId="19" xfId="0" applyNumberFormat="1" applyFont="1" applyFill="1" applyBorder="1"/>
    <xf numFmtId="2" fontId="77" fillId="58" borderId="20" xfId="0" applyNumberFormat="1" applyFont="1" applyFill="1" applyBorder="1" applyAlignment="1">
      <alignment horizontal="right"/>
    </xf>
    <xf numFmtId="2" fontId="0" fillId="58" borderId="0" xfId="0" applyNumberFormat="1" applyFill="1"/>
    <xf numFmtId="165" fontId="0" fillId="58" borderId="32" xfId="0" applyNumberFormat="1" applyFill="1" applyBorder="1"/>
    <xf numFmtId="2" fontId="0" fillId="58" borderId="32" xfId="0" applyNumberFormat="1" applyFill="1" applyBorder="1"/>
    <xf numFmtId="2" fontId="0" fillId="58" borderId="17" xfId="0" applyNumberFormat="1" applyFill="1" applyBorder="1"/>
    <xf numFmtId="2" fontId="0" fillId="58" borderId="20" xfId="0" applyNumberFormat="1" applyFill="1" applyBorder="1"/>
    <xf numFmtId="2" fontId="0" fillId="58" borderId="25" xfId="0" applyNumberFormat="1" applyFill="1" applyBorder="1"/>
    <xf numFmtId="165" fontId="1" fillId="58" borderId="70" xfId="0" applyNumberFormat="1" applyFont="1" applyFill="1" applyBorder="1"/>
    <xf numFmtId="2" fontId="0" fillId="57" borderId="0" xfId="0" applyNumberFormat="1" applyFill="1"/>
    <xf numFmtId="2" fontId="0" fillId="57" borderId="4" xfId="0" applyNumberFormat="1" applyFill="1" applyBorder="1" applyAlignment="1">
      <alignment horizontal="right"/>
    </xf>
    <xf numFmtId="2" fontId="0" fillId="57" borderId="15" xfId="0" quotePrefix="1" applyNumberFormat="1" applyFill="1" applyBorder="1"/>
    <xf numFmtId="2" fontId="53" fillId="57" borderId="15" xfId="0" applyNumberFormat="1" applyFont="1" applyFill="1" applyBorder="1"/>
    <xf numFmtId="2" fontId="0" fillId="57" borderId="72" xfId="0" applyNumberFormat="1" applyFill="1" applyBorder="1"/>
    <xf numFmtId="2" fontId="1" fillId="57" borderId="72" xfId="0" applyNumberFormat="1" applyFont="1" applyFill="1" applyBorder="1" applyAlignment="1">
      <alignment horizontal="right"/>
    </xf>
    <xf numFmtId="2" fontId="17" fillId="57" borderId="0" xfId="0" applyNumberFormat="1" applyFont="1" applyFill="1"/>
    <xf numFmtId="2" fontId="0" fillId="57" borderId="17" xfId="0" applyNumberFormat="1" applyFill="1" applyBorder="1"/>
    <xf numFmtId="2" fontId="0" fillId="57" borderId="20" xfId="0" applyNumberFormat="1" applyFill="1" applyBorder="1"/>
    <xf numFmtId="2" fontId="0" fillId="57" borderId="25" xfId="0" applyNumberFormat="1" applyFill="1" applyBorder="1"/>
    <xf numFmtId="2" fontId="0" fillId="57" borderId="71" xfId="0" applyNumberFormat="1" applyFill="1" applyBorder="1"/>
    <xf numFmtId="2" fontId="17" fillId="59" borderId="74" xfId="0" applyNumberFormat="1" applyFont="1" applyFill="1" applyBorder="1" applyAlignment="1">
      <alignment horizontal="right"/>
    </xf>
    <xf numFmtId="2" fontId="17" fillId="59" borderId="4" xfId="0" applyNumberFormat="1" applyFont="1" applyFill="1" applyBorder="1" applyAlignment="1">
      <alignment horizontal="right"/>
    </xf>
    <xf numFmtId="2" fontId="17" fillId="59" borderId="15" xfId="0" quotePrefix="1" applyNumberFormat="1" applyFont="1" applyFill="1" applyBorder="1"/>
    <xf numFmtId="2" fontId="17" fillId="59" borderId="15" xfId="0" applyNumberFormat="1" applyFont="1" applyFill="1" applyBorder="1" applyAlignment="1">
      <alignment horizontal="right"/>
    </xf>
    <xf numFmtId="2" fontId="17" fillId="59" borderId="72" xfId="0" applyNumberFormat="1" applyFont="1" applyFill="1" applyBorder="1" applyAlignment="1">
      <alignment horizontal="right"/>
    </xf>
    <xf numFmtId="2" fontId="17" fillId="59" borderId="15" xfId="0" applyNumberFormat="1" applyFont="1" applyFill="1" applyBorder="1"/>
    <xf numFmtId="2" fontId="17" fillId="59" borderId="16" xfId="0" applyNumberFormat="1" applyFont="1" applyFill="1" applyBorder="1"/>
    <xf numFmtId="2" fontId="17" fillId="59" borderId="0" xfId="0" applyNumberFormat="1" applyFont="1" applyFill="1"/>
    <xf numFmtId="2" fontId="17" fillId="59" borderId="17" xfId="0" applyNumberFormat="1" applyFont="1" applyFill="1" applyBorder="1"/>
    <xf numFmtId="2" fontId="0" fillId="59" borderId="0" xfId="0" applyNumberFormat="1" applyFill="1"/>
    <xf numFmtId="2" fontId="0" fillId="59" borderId="20" xfId="0" applyNumberFormat="1" applyFill="1" applyBorder="1"/>
    <xf numFmtId="2" fontId="17" fillId="59" borderId="25" xfId="0" applyNumberFormat="1" applyFont="1" applyFill="1" applyBorder="1"/>
    <xf numFmtId="2" fontId="17" fillId="59" borderId="71" xfId="0" applyNumberFormat="1" applyFont="1" applyFill="1" applyBorder="1"/>
    <xf numFmtId="2" fontId="40" fillId="60" borderId="74" xfId="0" applyNumberFormat="1" applyFont="1" applyFill="1" applyBorder="1" applyAlignment="1">
      <alignment horizontal="right"/>
    </xf>
    <xf numFmtId="2" fontId="0" fillId="60" borderId="21" xfId="0" applyNumberFormat="1" applyFill="1" applyBorder="1"/>
    <xf numFmtId="2" fontId="0" fillId="60" borderId="19" xfId="0" applyNumberFormat="1" applyFill="1" applyBorder="1"/>
    <xf numFmtId="2" fontId="0" fillId="60" borderId="71" xfId="0" applyNumberFormat="1" applyFill="1" applyBorder="1"/>
    <xf numFmtId="2" fontId="0" fillId="60" borderId="0" xfId="0" applyNumberFormat="1" applyFill="1"/>
    <xf numFmtId="165" fontId="0" fillId="60" borderId="32" xfId="0" applyNumberFormat="1" applyFill="1" applyBorder="1"/>
    <xf numFmtId="2" fontId="0" fillId="60" borderId="32" xfId="0" applyNumberFormat="1" applyFill="1" applyBorder="1"/>
    <xf numFmtId="165" fontId="0" fillId="60" borderId="70" xfId="0" applyNumberFormat="1" applyFill="1" applyBorder="1"/>
    <xf numFmtId="2" fontId="0" fillId="60" borderId="17" xfId="0" applyNumberFormat="1" applyFill="1" applyBorder="1"/>
    <xf numFmtId="2" fontId="0" fillId="60" borderId="20" xfId="0" applyNumberFormat="1" applyFill="1" applyBorder="1"/>
    <xf numFmtId="2" fontId="0" fillId="60" borderId="25" xfId="0" applyNumberFormat="1" applyFill="1" applyBorder="1"/>
    <xf numFmtId="2" fontId="1" fillId="60" borderId="15" xfId="0" applyNumberFormat="1" applyFont="1" applyFill="1" applyBorder="1" applyAlignment="1">
      <alignment horizontal="right"/>
    </xf>
    <xf numFmtId="2" fontId="1" fillId="60" borderId="20" xfId="0" applyNumberFormat="1" applyFont="1" applyFill="1" applyBorder="1" applyAlignment="1">
      <alignment horizontal="right"/>
    </xf>
    <xf numFmtId="10" fontId="15" fillId="53" borderId="22" xfId="0" applyNumberFormat="1" applyFont="1" applyFill="1" applyBorder="1" applyAlignment="1" applyProtection="1">
      <alignment horizontal="center"/>
      <protection locked="0"/>
    </xf>
    <xf numFmtId="10" fontId="7" fillId="5" borderId="38" xfId="0" applyNumberFormat="1" applyFont="1" applyFill="1" applyBorder="1" applyAlignment="1">
      <alignment horizontal="center"/>
    </xf>
    <xf numFmtId="2" fontId="9" fillId="18" borderId="0" xfId="0" applyNumberFormat="1" applyFont="1" applyFill="1" applyAlignment="1">
      <alignment horizontal="right"/>
    </xf>
    <xf numFmtId="2" fontId="16" fillId="46" borderId="0" xfId="0" quotePrefix="1" applyNumberFormat="1" applyFont="1" applyFill="1" applyAlignment="1">
      <alignment horizontal="right"/>
    </xf>
    <xf numFmtId="2" fontId="16" fillId="46" borderId="20" xfId="0" applyNumberFormat="1" applyFont="1" applyFill="1" applyBorder="1" applyAlignment="1">
      <alignment horizontal="right"/>
    </xf>
    <xf numFmtId="167" fontId="15" fillId="44" borderId="21" xfId="0" applyNumberFormat="1" applyFont="1" applyFill="1" applyBorder="1" applyAlignment="1">
      <alignment horizontal="center"/>
    </xf>
    <xf numFmtId="167" fontId="75" fillId="44" borderId="16" xfId="0" applyNumberFormat="1" applyFont="1" applyFill="1" applyBorder="1" applyAlignment="1">
      <alignment horizontal="center"/>
    </xf>
    <xf numFmtId="173" fontId="100" fillId="44" borderId="25" xfId="2" applyNumberFormat="1" applyFont="1" applyFill="1" applyBorder="1" applyAlignment="1">
      <alignment horizontal="center"/>
    </xf>
    <xf numFmtId="173" fontId="73" fillId="44" borderId="19" xfId="2" applyNumberFormat="1" applyFont="1" applyFill="1" applyBorder="1" applyAlignment="1">
      <alignment horizontal="center"/>
    </xf>
    <xf numFmtId="167" fontId="84" fillId="61" borderId="36" xfId="0" applyNumberFormat="1" applyFont="1" applyFill="1" applyBorder="1" applyAlignment="1">
      <alignment horizontal="center"/>
    </xf>
    <xf numFmtId="173" fontId="101" fillId="50" borderId="36" xfId="2" applyNumberFormat="1" applyFont="1" applyFill="1" applyBorder="1" applyAlignment="1">
      <alignment horizontal="center"/>
    </xf>
    <xf numFmtId="173" fontId="101" fillId="61" borderId="36" xfId="2" applyNumberFormat="1" applyFont="1" applyFill="1" applyBorder="1" applyAlignment="1">
      <alignment horizontal="center"/>
    </xf>
    <xf numFmtId="2" fontId="16" fillId="56" borderId="0" xfId="0" quotePrefix="1" applyNumberFormat="1" applyFont="1" applyFill="1" applyAlignment="1">
      <alignment horizontal="right"/>
    </xf>
    <xf numFmtId="2" fontId="16" fillId="56" borderId="20" xfId="0" applyNumberFormat="1" applyFont="1" applyFill="1" applyBorder="1" applyAlignment="1">
      <alignment horizontal="right"/>
    </xf>
    <xf numFmtId="167" fontId="88" fillId="44" borderId="16" xfId="0" applyNumberFormat="1" applyFont="1" applyFill="1" applyBorder="1" applyAlignment="1">
      <alignment horizontal="center"/>
    </xf>
    <xf numFmtId="164" fontId="1" fillId="25" borderId="0" xfId="1" applyFont="1" applyFill="1" applyProtection="1">
      <protection locked="0"/>
    </xf>
    <xf numFmtId="166" fontId="1" fillId="25" borderId="66" xfId="0" applyNumberFormat="1" applyFont="1" applyFill="1" applyBorder="1" applyProtection="1">
      <protection locked="0"/>
    </xf>
    <xf numFmtId="166" fontId="1" fillId="25" borderId="55" xfId="0" applyNumberFormat="1" applyFont="1" applyFill="1" applyBorder="1" applyProtection="1">
      <protection locked="0"/>
    </xf>
    <xf numFmtId="2" fontId="1" fillId="25" borderId="55" xfId="0" applyNumberFormat="1" applyFont="1" applyFill="1" applyBorder="1" applyProtection="1">
      <protection locked="0"/>
    </xf>
    <xf numFmtId="166" fontId="1" fillId="25" borderId="53" xfId="0" applyNumberFormat="1" applyFont="1" applyFill="1" applyBorder="1" applyProtection="1">
      <protection locked="0"/>
    </xf>
    <xf numFmtId="2" fontId="15" fillId="48" borderId="23" xfId="0" applyNumberFormat="1" applyFont="1" applyFill="1" applyBorder="1" applyAlignment="1" applyProtection="1">
      <alignment horizontal="center"/>
      <protection locked="0"/>
    </xf>
    <xf numFmtId="2" fontId="8" fillId="47" borderId="22" xfId="0" applyNumberFormat="1" applyFont="1" applyFill="1" applyBorder="1" applyAlignment="1">
      <alignment horizontal="center"/>
    </xf>
    <xf numFmtId="2" fontId="75" fillId="47" borderId="38" xfId="0" applyNumberFormat="1" applyFont="1" applyFill="1" applyBorder="1" applyAlignment="1">
      <alignment horizontal="center"/>
    </xf>
    <xf numFmtId="2" fontId="1" fillId="51" borderId="9" xfId="0" applyNumberFormat="1" applyFont="1" applyFill="1" applyBorder="1"/>
    <xf numFmtId="2" fontId="74" fillId="51" borderId="9" xfId="0" applyNumberFormat="1" applyFont="1" applyFill="1" applyBorder="1"/>
    <xf numFmtId="2" fontId="17" fillId="51" borderId="9" xfId="0" applyNumberFormat="1" applyFont="1" applyFill="1" applyBorder="1"/>
    <xf numFmtId="2" fontId="17" fillId="51" borderId="3" xfId="0" applyNumberFormat="1" applyFont="1" applyFill="1" applyBorder="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 of Counts and Measures, </a:t>
            </a:r>
            <a:r>
              <a:rPr lang="en-US" u="sng"/>
              <a:t>Optimal</a:t>
            </a:r>
            <a:r>
              <a:rPr lang="en-US"/>
              <a:t> @ Ratio</a:t>
            </a:r>
          </a:p>
        </c:rich>
      </c:tx>
      <c:layout>
        <c:manualLayout>
          <c:xMode val="edge"/>
          <c:yMode val="edge"/>
          <c:x val="0.1898092480273475"/>
          <c:y val="3.501941538129652E-2"/>
        </c:manualLayout>
      </c:layout>
      <c:overlay val="0"/>
      <c:spPr>
        <a:noFill/>
        <a:ln w="25400">
          <a:noFill/>
        </a:ln>
      </c:spPr>
    </c:title>
    <c:autoTitleDeleted val="0"/>
    <c:plotArea>
      <c:layout>
        <c:manualLayout>
          <c:layoutTarget val="inner"/>
          <c:xMode val="edge"/>
          <c:yMode val="edge"/>
          <c:x val="0.11974544638008755"/>
          <c:y val="0.15953345280736264"/>
          <c:w val="0.81783592102144897"/>
          <c:h val="0.68093546929971849"/>
        </c:manualLayout>
      </c:layout>
      <c:scatterChart>
        <c:scatterStyle val="smoothMarker"/>
        <c:varyColors val="0"/>
        <c:ser>
          <c:idx val="2"/>
          <c:order val="0"/>
          <c:tx>
            <c:v># of Counts</c:v>
          </c:tx>
          <c:spPr>
            <a:ln w="12700">
              <a:solidFill>
                <a:srgbClr val="FF0000"/>
              </a:solidFill>
              <a:prstDash val="solid"/>
            </a:ln>
          </c:spPr>
          <c:marker>
            <c:symbol val="circle"/>
            <c:size val="5"/>
            <c:spPr>
              <a:solidFill>
                <a:srgbClr val="FFFFFF"/>
              </a:solidFill>
              <a:ln>
                <a:solidFill>
                  <a:srgbClr val="000000"/>
                </a:solidFill>
                <a:prstDash val="solid"/>
              </a:ln>
            </c:spPr>
          </c:marker>
          <c:xVal>
            <c:numRef>
              <c:f>'Data Entry'!$R$4:$R$27</c:f>
              <c:numCache>
                <c:formatCode>0.00%</c:formatCode>
                <c:ptCount val="24"/>
                <c:pt idx="0">
                  <c:v>3.2499999999999973E-2</c:v>
                </c:pt>
                <c:pt idx="1">
                  <c:v>3.4999999999999976E-2</c:v>
                </c:pt>
                <c:pt idx="2">
                  <c:v>3.7499999999999978E-2</c:v>
                </c:pt>
                <c:pt idx="3">
                  <c:v>3.999999999999998E-2</c:v>
                </c:pt>
                <c:pt idx="4">
                  <c:v>4.2499999999999982E-2</c:v>
                </c:pt>
                <c:pt idx="5">
                  <c:v>4.4999999999999984E-2</c:v>
                </c:pt>
                <c:pt idx="6">
                  <c:v>4.7499999999999987E-2</c:v>
                </c:pt>
                <c:pt idx="7">
                  <c:v>4.9999999999999989E-2</c:v>
                </c:pt>
                <c:pt idx="8">
                  <c:v>5.2499999999999991E-2</c:v>
                </c:pt>
                <c:pt idx="9">
                  <c:v>5.4999999999999993E-2</c:v>
                </c:pt>
                <c:pt idx="10">
                  <c:v>5.7499999999999996E-2</c:v>
                </c:pt>
                <c:pt idx="11">
                  <c:v>0.06</c:v>
                </c:pt>
                <c:pt idx="12">
                  <c:v>6.25E-2</c:v>
                </c:pt>
                <c:pt idx="13">
                  <c:v>6.5000000000000002E-2</c:v>
                </c:pt>
                <c:pt idx="14">
                  <c:v>6.7500000000000004E-2</c:v>
                </c:pt>
                <c:pt idx="15">
                  <c:v>7.0000000000000007E-2</c:v>
                </c:pt>
                <c:pt idx="16">
                  <c:v>7.2500000000000009E-2</c:v>
                </c:pt>
                <c:pt idx="17">
                  <c:v>7.5000000000000011E-2</c:v>
                </c:pt>
                <c:pt idx="18">
                  <c:v>7.7500000000000013E-2</c:v>
                </c:pt>
                <c:pt idx="19">
                  <c:v>8.0000000000000016E-2</c:v>
                </c:pt>
                <c:pt idx="20">
                  <c:v>8.2500000000000018E-2</c:v>
                </c:pt>
                <c:pt idx="21">
                  <c:v>8.500000000000002E-2</c:v>
                </c:pt>
                <c:pt idx="22">
                  <c:v>8.7500000000000022E-2</c:v>
                </c:pt>
                <c:pt idx="23">
                  <c:v>9.0000000000000024E-2</c:v>
                </c:pt>
              </c:numCache>
            </c:numRef>
          </c:xVal>
          <c:yVal>
            <c:numRef>
              <c:f>'Data Entry'!$U$4:$U$27</c:f>
              <c:numCache>
                <c:formatCode>0.00</c:formatCode>
                <c:ptCount val="24"/>
                <c:pt idx="0">
                  <c:v>154.23859772144291</c:v>
                </c:pt>
                <c:pt idx="1">
                  <c:v>132.99144395369308</c:v>
                </c:pt>
                <c:pt idx="2">
                  <c:v>115.85032451077262</c:v>
                </c:pt>
                <c:pt idx="3">
                  <c:v>101.82157427704622</c:v>
                </c:pt>
                <c:pt idx="4">
                  <c:v>90.194889324995955</c:v>
                </c:pt>
                <c:pt idx="5">
                  <c:v>80.451614243592061</c:v>
                </c:pt>
                <c:pt idx="6">
                  <c:v>72.205880927766827</c:v>
                </c:pt>
                <c:pt idx="7">
                  <c:v>65.165807537309547</c:v>
                </c:pt>
                <c:pt idx="8">
                  <c:v>59.107308423863529</c:v>
                </c:pt>
                <c:pt idx="9">
                  <c:v>53.856039287032665</c:v>
                </c:pt>
                <c:pt idx="10">
                  <c:v>49.274712693617793</c:v>
                </c:pt>
                <c:pt idx="11">
                  <c:v>45.254033012020493</c:v>
                </c:pt>
                <c:pt idx="12">
                  <c:v>41.706116823878091</c:v>
                </c:pt>
                <c:pt idx="13">
                  <c:v>38.559649430360665</c:v>
                </c:pt>
                <c:pt idx="14">
                  <c:v>35.756272997151996</c:v>
                </c:pt>
                <c:pt idx="15">
                  <c:v>33.24786098842322</c:v>
                </c:pt>
                <c:pt idx="16">
                  <c:v>30.994438781122231</c:v>
                </c:pt>
                <c:pt idx="17">
                  <c:v>28.962581127693106</c:v>
                </c:pt>
                <c:pt idx="18">
                  <c:v>27.12416546818293</c:v>
                </c:pt>
                <c:pt idx="19">
                  <c:v>25.455393569261521</c:v>
                </c:pt>
                <c:pt idx="20">
                  <c:v>23.936017460903393</c:v>
                </c:pt>
                <c:pt idx="21">
                  <c:v>22.54872233124896</c:v>
                </c:pt>
                <c:pt idx="22">
                  <c:v>21.278631032590852</c:v>
                </c:pt>
                <c:pt idx="23">
                  <c:v>20.112903560897987</c:v>
                </c:pt>
              </c:numCache>
            </c:numRef>
          </c:yVal>
          <c:smooth val="1"/>
          <c:extLst>
            <c:ext xmlns:c16="http://schemas.microsoft.com/office/drawing/2014/chart" uri="{C3380CC4-5D6E-409C-BE32-E72D297353CC}">
              <c16:uniqueId val="{00000000-1312-4262-AAC3-86B2DC7314CE}"/>
            </c:ext>
          </c:extLst>
        </c:ser>
        <c:ser>
          <c:idx val="0"/>
          <c:order val="1"/>
          <c:tx>
            <c:v># of *BARS</c:v>
          </c:tx>
          <c:spPr>
            <a:ln w="12700">
              <a:solidFill>
                <a:srgbClr val="000080"/>
              </a:solidFill>
              <a:prstDash val="solid"/>
            </a:ln>
          </c:spPr>
          <c:marker>
            <c:symbol val="plus"/>
            <c:size val="6"/>
            <c:spPr>
              <a:noFill/>
              <a:ln>
                <a:solidFill>
                  <a:srgbClr val="000000"/>
                </a:solidFill>
                <a:prstDash val="solid"/>
              </a:ln>
            </c:spPr>
          </c:marker>
          <c:xVal>
            <c:numRef>
              <c:f>'Data Entry'!$R$4:$R$27</c:f>
              <c:numCache>
                <c:formatCode>0.00%</c:formatCode>
                <c:ptCount val="24"/>
                <c:pt idx="0">
                  <c:v>3.2499999999999973E-2</c:v>
                </c:pt>
                <c:pt idx="1">
                  <c:v>3.4999999999999976E-2</c:v>
                </c:pt>
                <c:pt idx="2">
                  <c:v>3.7499999999999978E-2</c:v>
                </c:pt>
                <c:pt idx="3">
                  <c:v>3.999999999999998E-2</c:v>
                </c:pt>
                <c:pt idx="4">
                  <c:v>4.2499999999999982E-2</c:v>
                </c:pt>
                <c:pt idx="5">
                  <c:v>4.4999999999999984E-2</c:v>
                </c:pt>
                <c:pt idx="6">
                  <c:v>4.7499999999999987E-2</c:v>
                </c:pt>
                <c:pt idx="7">
                  <c:v>4.9999999999999989E-2</c:v>
                </c:pt>
                <c:pt idx="8">
                  <c:v>5.2499999999999991E-2</c:v>
                </c:pt>
                <c:pt idx="9">
                  <c:v>5.4999999999999993E-2</c:v>
                </c:pt>
                <c:pt idx="10">
                  <c:v>5.7499999999999996E-2</c:v>
                </c:pt>
                <c:pt idx="11">
                  <c:v>0.06</c:v>
                </c:pt>
                <c:pt idx="12">
                  <c:v>6.25E-2</c:v>
                </c:pt>
                <c:pt idx="13">
                  <c:v>6.5000000000000002E-2</c:v>
                </c:pt>
                <c:pt idx="14">
                  <c:v>6.7500000000000004E-2</c:v>
                </c:pt>
                <c:pt idx="15">
                  <c:v>7.0000000000000007E-2</c:v>
                </c:pt>
                <c:pt idx="16">
                  <c:v>7.2500000000000009E-2</c:v>
                </c:pt>
                <c:pt idx="17">
                  <c:v>7.5000000000000011E-2</c:v>
                </c:pt>
                <c:pt idx="18">
                  <c:v>7.7500000000000013E-2</c:v>
                </c:pt>
                <c:pt idx="19">
                  <c:v>8.0000000000000016E-2</c:v>
                </c:pt>
                <c:pt idx="20">
                  <c:v>8.2500000000000018E-2</c:v>
                </c:pt>
                <c:pt idx="21">
                  <c:v>8.500000000000002E-2</c:v>
                </c:pt>
                <c:pt idx="22">
                  <c:v>8.7500000000000022E-2</c:v>
                </c:pt>
                <c:pt idx="23">
                  <c:v>9.0000000000000024E-2</c:v>
                </c:pt>
              </c:numCache>
            </c:numRef>
          </c:xVal>
          <c:yVal>
            <c:numRef>
              <c:f>'Data Entry'!$T$4:$T$27</c:f>
              <c:numCache>
                <c:formatCode>0.00</c:formatCode>
                <c:ptCount val="24"/>
                <c:pt idx="0">
                  <c:v>152.65662156669507</c:v>
                </c:pt>
                <c:pt idx="1">
                  <c:v>131.62739308556866</c:v>
                </c:pt>
                <c:pt idx="2">
                  <c:v>114.66208464342868</c:v>
                </c:pt>
                <c:pt idx="3">
                  <c:v>100.77722283113847</c:v>
                </c:pt>
                <c:pt idx="4">
                  <c:v>89.269789082254135</c:v>
                </c:pt>
                <c:pt idx="5">
                  <c:v>79.626447669047664</c:v>
                </c:pt>
                <c:pt idx="6">
                  <c:v>71.465288212663268</c:v>
                </c:pt>
                <c:pt idx="7">
                  <c:v>64.497422611928585</c:v>
                </c:pt>
                <c:pt idx="8">
                  <c:v>58.501063593586011</c:v>
                </c:pt>
                <c:pt idx="9">
                  <c:v>53.303655051180634</c:v>
                </c:pt>
                <c:pt idx="10">
                  <c:v>48.769317664974345</c:v>
                </c:pt>
                <c:pt idx="11">
                  <c:v>44.789876813839271</c:v>
                </c:pt>
                <c:pt idx="12">
                  <c:v>41.278350471634276</c:v>
                </c:pt>
                <c:pt idx="13">
                  <c:v>38.164155391673702</c:v>
                </c:pt>
                <c:pt idx="14">
                  <c:v>35.389532297354485</c:v>
                </c:pt>
                <c:pt idx="15">
                  <c:v>32.906848271392114</c:v>
                </c:pt>
                <c:pt idx="16">
                  <c:v>30.676538697706793</c:v>
                </c:pt>
                <c:pt idx="17">
                  <c:v>28.665521160857125</c:v>
                </c:pt>
                <c:pt idx="18">
                  <c:v>26.845961545027485</c:v>
                </c:pt>
                <c:pt idx="19">
                  <c:v>25.194305707784583</c:v>
                </c:pt>
                <c:pt idx="20">
                  <c:v>23.690513356080267</c:v>
                </c:pt>
                <c:pt idx="21">
                  <c:v>22.317447270563505</c:v>
                </c:pt>
                <c:pt idx="22">
                  <c:v>21.060382893690946</c:v>
                </c:pt>
                <c:pt idx="23">
                  <c:v>19.906611917261888</c:v>
                </c:pt>
              </c:numCache>
            </c:numRef>
          </c:yVal>
          <c:smooth val="1"/>
          <c:extLst>
            <c:ext xmlns:c16="http://schemas.microsoft.com/office/drawing/2014/chart" uri="{C3380CC4-5D6E-409C-BE32-E72D297353CC}">
              <c16:uniqueId val="{00000001-1312-4262-AAC3-86B2DC7314CE}"/>
            </c:ext>
          </c:extLst>
        </c:ser>
        <c:dLbls>
          <c:showLegendKey val="0"/>
          <c:showVal val="0"/>
          <c:showCatName val="0"/>
          <c:showSerName val="0"/>
          <c:showPercent val="0"/>
          <c:showBubbleSize val="0"/>
        </c:dLbls>
        <c:axId val="1473701328"/>
        <c:axId val="1"/>
      </c:scatterChart>
      <c:valAx>
        <c:axId val="147370132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US"/>
                  <a:t>Overall SE% Desired</a:t>
                </a:r>
              </a:p>
            </c:rich>
          </c:tx>
          <c:layout>
            <c:manualLayout>
              <c:xMode val="edge"/>
              <c:yMode val="edge"/>
              <c:x val="0.14597014677696377"/>
              <c:y val="0.76363418185740484"/>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crossBetween val="midCat"/>
        <c:majorUnit val="0.01"/>
        <c:minorUnit val="0.01"/>
      </c:valAx>
      <c:valAx>
        <c:axId val="1"/>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Number</a:t>
                </a:r>
              </a:p>
            </c:rich>
          </c:tx>
          <c:layout>
            <c:manualLayout>
              <c:xMode val="edge"/>
              <c:yMode val="edge"/>
              <c:x val="1.5286542817553496E-2"/>
              <c:y val="0.43385314421313775"/>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473701328"/>
        <c:crosses val="autoZero"/>
        <c:crossBetween val="midCat"/>
      </c:valAx>
      <c:spPr>
        <a:solidFill>
          <a:srgbClr val="FFFFFF"/>
        </a:solidFill>
        <a:ln w="3175">
          <a:solidFill>
            <a:srgbClr val="000000"/>
          </a:solidFill>
          <a:prstDash val="solid"/>
        </a:ln>
      </c:spPr>
    </c:plotArea>
    <c:legend>
      <c:legendPos val="r"/>
      <c:layout>
        <c:manualLayout>
          <c:xMode val="edge"/>
          <c:yMode val="edge"/>
          <c:x val="0.76714834512914554"/>
          <c:y val="4.109723870132672E-2"/>
          <c:w val="0.15595877965201665"/>
          <c:h val="9.7605975622910152E-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Plots needed for SE% (ALL trees measured)</a:t>
            </a:r>
          </a:p>
        </c:rich>
      </c:tx>
      <c:layout>
        <c:manualLayout>
          <c:xMode val="edge"/>
          <c:yMode val="edge"/>
          <c:x val="0.11979834637458639"/>
          <c:y val="2.135917625681405E-2"/>
        </c:manualLayout>
      </c:layout>
      <c:overlay val="0"/>
      <c:spPr>
        <a:noFill/>
        <a:ln w="25400">
          <a:noFill/>
        </a:ln>
      </c:spPr>
    </c:title>
    <c:autoTitleDeleted val="0"/>
    <c:plotArea>
      <c:layout>
        <c:manualLayout>
          <c:layoutTarget val="inner"/>
          <c:xMode val="edge"/>
          <c:yMode val="edge"/>
          <c:x val="0.10340499885857103"/>
          <c:y val="0.13786446980564457"/>
          <c:w val="0.83985035658302809"/>
          <c:h val="0.73204091713701402"/>
        </c:manualLayout>
      </c:layout>
      <c:scatterChart>
        <c:scatterStyle val="smoothMarker"/>
        <c:varyColors val="0"/>
        <c:ser>
          <c:idx val="2"/>
          <c:order val="0"/>
          <c:tx>
            <c:v># of Sample Points</c:v>
          </c:tx>
          <c:spPr>
            <a:ln w="12700">
              <a:solidFill>
                <a:srgbClr val="FF0000"/>
              </a:solidFill>
              <a:prstDash val="solid"/>
            </a:ln>
          </c:spPr>
          <c:marker>
            <c:symbol val="circle"/>
            <c:size val="5"/>
            <c:spPr>
              <a:solidFill>
                <a:srgbClr val="FFFFFF"/>
              </a:solidFill>
              <a:ln>
                <a:solidFill>
                  <a:srgbClr val="000000"/>
                </a:solidFill>
                <a:prstDash val="solid"/>
              </a:ln>
            </c:spPr>
          </c:marker>
          <c:xVal>
            <c:numRef>
              <c:f>'Data Entry'!$R$4:$R$27</c:f>
              <c:numCache>
                <c:formatCode>0.00%</c:formatCode>
                <c:ptCount val="24"/>
                <c:pt idx="0">
                  <c:v>3.2499999999999973E-2</c:v>
                </c:pt>
                <c:pt idx="1">
                  <c:v>3.4999999999999976E-2</c:v>
                </c:pt>
                <c:pt idx="2">
                  <c:v>3.7499999999999978E-2</c:v>
                </c:pt>
                <c:pt idx="3">
                  <c:v>3.999999999999998E-2</c:v>
                </c:pt>
                <c:pt idx="4">
                  <c:v>4.2499999999999982E-2</c:v>
                </c:pt>
                <c:pt idx="5">
                  <c:v>4.4999999999999984E-2</c:v>
                </c:pt>
                <c:pt idx="6">
                  <c:v>4.7499999999999987E-2</c:v>
                </c:pt>
                <c:pt idx="7">
                  <c:v>4.9999999999999989E-2</c:v>
                </c:pt>
                <c:pt idx="8">
                  <c:v>5.2499999999999991E-2</c:v>
                </c:pt>
                <c:pt idx="9">
                  <c:v>5.4999999999999993E-2</c:v>
                </c:pt>
                <c:pt idx="10">
                  <c:v>5.7499999999999996E-2</c:v>
                </c:pt>
                <c:pt idx="11">
                  <c:v>0.06</c:v>
                </c:pt>
                <c:pt idx="12">
                  <c:v>6.25E-2</c:v>
                </c:pt>
                <c:pt idx="13">
                  <c:v>6.5000000000000002E-2</c:v>
                </c:pt>
                <c:pt idx="14">
                  <c:v>6.7500000000000004E-2</c:v>
                </c:pt>
                <c:pt idx="15">
                  <c:v>7.0000000000000007E-2</c:v>
                </c:pt>
                <c:pt idx="16">
                  <c:v>7.2500000000000009E-2</c:v>
                </c:pt>
                <c:pt idx="17">
                  <c:v>7.5000000000000011E-2</c:v>
                </c:pt>
                <c:pt idx="18">
                  <c:v>7.7500000000000013E-2</c:v>
                </c:pt>
                <c:pt idx="19">
                  <c:v>8.0000000000000016E-2</c:v>
                </c:pt>
                <c:pt idx="20">
                  <c:v>8.2500000000000018E-2</c:v>
                </c:pt>
                <c:pt idx="21">
                  <c:v>8.500000000000002E-2</c:v>
                </c:pt>
                <c:pt idx="22">
                  <c:v>8.7500000000000022E-2</c:v>
                </c:pt>
                <c:pt idx="23">
                  <c:v>9.0000000000000024E-2</c:v>
                </c:pt>
              </c:numCache>
            </c:numRef>
          </c:xVal>
          <c:yVal>
            <c:numRef>
              <c:f>'Data Entry'!$AC$4:$AC$27</c:f>
              <c:numCache>
                <c:formatCode>0.00</c:formatCode>
                <c:ptCount val="24"/>
                <c:pt idx="0">
                  <c:v>122.28796844181478</c:v>
                </c:pt>
                <c:pt idx="1">
                  <c:v>105.44217687074844</c:v>
                </c:pt>
                <c:pt idx="2">
                  <c:v>91.851851851851933</c:v>
                </c:pt>
                <c:pt idx="3">
                  <c:v>80.729166666666742</c:v>
                </c:pt>
                <c:pt idx="4">
                  <c:v>71.510957324106172</c:v>
                </c:pt>
                <c:pt idx="5">
                  <c:v>63.786008230452708</c:v>
                </c:pt>
                <c:pt idx="6">
                  <c:v>57.248384118190231</c:v>
                </c:pt>
                <c:pt idx="7">
                  <c:v>51.666666666666693</c:v>
                </c:pt>
                <c:pt idx="8">
                  <c:v>46.863189720332585</c:v>
                </c:pt>
                <c:pt idx="9">
                  <c:v>42.69972451790634</c:v>
                </c:pt>
                <c:pt idx="10">
                  <c:v>39.067422810333966</c:v>
                </c:pt>
                <c:pt idx="11">
                  <c:v>35.879629629629626</c:v>
                </c:pt>
                <c:pt idx="12">
                  <c:v>33.066666666666663</c:v>
                </c:pt>
                <c:pt idx="13">
                  <c:v>30.571992110453639</c:v>
                </c:pt>
                <c:pt idx="14">
                  <c:v>28.349336991312292</c:v>
                </c:pt>
                <c:pt idx="15">
                  <c:v>26.360544217687067</c:v>
                </c:pt>
                <c:pt idx="16">
                  <c:v>24.573919936583422</c:v>
                </c:pt>
                <c:pt idx="17">
                  <c:v>22.962962962962955</c:v>
                </c:pt>
                <c:pt idx="18">
                  <c:v>21.50537634408601</c:v>
                </c:pt>
                <c:pt idx="19">
                  <c:v>20.182291666666654</c:v>
                </c:pt>
                <c:pt idx="20">
                  <c:v>18.977655341291694</c:v>
                </c:pt>
                <c:pt idx="21">
                  <c:v>17.877739331026518</c:v>
                </c:pt>
                <c:pt idx="22">
                  <c:v>16.870748299319715</c:v>
                </c:pt>
                <c:pt idx="23">
                  <c:v>15.946502057613159</c:v>
                </c:pt>
              </c:numCache>
            </c:numRef>
          </c:yVal>
          <c:smooth val="1"/>
          <c:extLst>
            <c:ext xmlns:c16="http://schemas.microsoft.com/office/drawing/2014/chart" uri="{C3380CC4-5D6E-409C-BE32-E72D297353CC}">
              <c16:uniqueId val="{00000000-8BFF-4F05-84E8-421E5ADBE099}"/>
            </c:ext>
          </c:extLst>
        </c:ser>
        <c:dLbls>
          <c:showLegendKey val="0"/>
          <c:showVal val="0"/>
          <c:showCatName val="0"/>
          <c:showSerName val="0"/>
          <c:showPercent val="0"/>
          <c:showBubbleSize val="0"/>
        </c:dLbls>
        <c:axId val="1473702288"/>
        <c:axId val="1"/>
      </c:scatterChart>
      <c:valAx>
        <c:axId val="147370228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US"/>
                  <a:t>Overall SE% Desired</a:t>
                </a:r>
              </a:p>
            </c:rich>
          </c:tx>
          <c:layout>
            <c:manualLayout>
              <c:xMode val="edge"/>
              <c:yMode val="edge"/>
              <c:x val="0.13624773180724675"/>
              <c:y val="0.79824348879466989"/>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
        <c:crosses val="autoZero"/>
        <c:crossBetween val="midCat"/>
        <c:majorUnit val="0.01"/>
        <c:minorUnit val="0.01"/>
      </c:valAx>
      <c:valAx>
        <c:axId val="1"/>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Number of sample points</a:t>
                </a:r>
              </a:p>
            </c:rich>
          </c:tx>
          <c:layout>
            <c:manualLayout>
              <c:xMode val="edge"/>
              <c:yMode val="edge"/>
              <c:x val="1.0088264514380958E-2"/>
              <c:y val="0.28349579379500639"/>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473702288"/>
        <c:crosses val="autoZero"/>
        <c:crossBetween val="midCat"/>
      </c:valAx>
      <c:spPr>
        <a:solidFill>
          <a:srgbClr val="FFFFFF"/>
        </a:solidFill>
        <a:ln w="3175">
          <a:solidFill>
            <a:srgbClr val="000000"/>
          </a:solidFill>
          <a:prstDash val="solid"/>
        </a:ln>
      </c:spPr>
    </c:plotArea>
    <c:legend>
      <c:legendPos val="r"/>
      <c:layout>
        <c:manualLayout>
          <c:xMode val="edge"/>
          <c:yMode val="edge"/>
          <c:x val="0.72786367032588084"/>
          <c:y val="3.0770307557709133E-2"/>
          <c:w val="0.21064248355816839"/>
          <c:h val="4.957426475536713E-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COST of SE%, </a:t>
            </a:r>
            <a:r>
              <a:rPr lang="en-US" u="sng"/>
              <a:t>Optimal</a:t>
            </a:r>
            <a:r>
              <a:rPr lang="en-US"/>
              <a:t> </a:t>
            </a:r>
            <a:r>
              <a:rPr lang="en-US" u="sng"/>
              <a:t>Ratio</a:t>
            </a:r>
          </a:p>
        </c:rich>
      </c:tx>
      <c:layout>
        <c:manualLayout>
          <c:xMode val="edge"/>
          <c:yMode val="edge"/>
          <c:x val="0.22222249648261053"/>
          <c:y val="1.3592300962379702E-2"/>
        </c:manualLayout>
      </c:layout>
      <c:overlay val="0"/>
      <c:spPr>
        <a:noFill/>
        <a:ln w="25400">
          <a:noFill/>
        </a:ln>
      </c:spPr>
    </c:title>
    <c:autoTitleDeleted val="0"/>
    <c:plotArea>
      <c:layout>
        <c:manualLayout>
          <c:layoutTarget val="inner"/>
          <c:xMode val="edge"/>
          <c:yMode val="edge"/>
          <c:x val="0.13510123915448904"/>
          <c:y val="8.7378889313436681E-2"/>
          <c:w val="0.80681954971699532"/>
          <c:h val="0.7631089666706804"/>
        </c:manualLayout>
      </c:layout>
      <c:scatterChart>
        <c:scatterStyle val="smoothMarker"/>
        <c:varyColors val="0"/>
        <c:ser>
          <c:idx val="2"/>
          <c:order val="0"/>
          <c:tx>
            <c:v>Cost for cruise</c:v>
          </c:tx>
          <c:spPr>
            <a:ln w="12700">
              <a:solidFill>
                <a:srgbClr val="FF0000"/>
              </a:solidFill>
              <a:prstDash val="solid"/>
            </a:ln>
          </c:spPr>
          <c:marker>
            <c:symbol val="star"/>
            <c:size val="5"/>
            <c:spPr>
              <a:solidFill>
                <a:srgbClr val="FFFFFF"/>
              </a:solidFill>
              <a:ln>
                <a:solidFill>
                  <a:srgbClr val="000000"/>
                </a:solidFill>
                <a:prstDash val="solid"/>
              </a:ln>
            </c:spPr>
          </c:marker>
          <c:xVal>
            <c:numRef>
              <c:f>'Data Entry'!$R$4:$R$27</c:f>
              <c:numCache>
                <c:formatCode>0.00%</c:formatCode>
                <c:ptCount val="24"/>
                <c:pt idx="0">
                  <c:v>3.2499999999999973E-2</c:v>
                </c:pt>
                <c:pt idx="1">
                  <c:v>3.4999999999999976E-2</c:v>
                </c:pt>
                <c:pt idx="2">
                  <c:v>3.7499999999999978E-2</c:v>
                </c:pt>
                <c:pt idx="3">
                  <c:v>3.999999999999998E-2</c:v>
                </c:pt>
                <c:pt idx="4">
                  <c:v>4.2499999999999982E-2</c:v>
                </c:pt>
                <c:pt idx="5">
                  <c:v>4.4999999999999984E-2</c:v>
                </c:pt>
                <c:pt idx="6">
                  <c:v>4.7499999999999987E-2</c:v>
                </c:pt>
                <c:pt idx="7">
                  <c:v>4.9999999999999989E-2</c:v>
                </c:pt>
                <c:pt idx="8">
                  <c:v>5.2499999999999991E-2</c:v>
                </c:pt>
                <c:pt idx="9">
                  <c:v>5.4999999999999993E-2</c:v>
                </c:pt>
                <c:pt idx="10">
                  <c:v>5.7499999999999996E-2</c:v>
                </c:pt>
                <c:pt idx="11">
                  <c:v>0.06</c:v>
                </c:pt>
                <c:pt idx="12">
                  <c:v>6.25E-2</c:v>
                </c:pt>
                <c:pt idx="13">
                  <c:v>6.5000000000000002E-2</c:v>
                </c:pt>
                <c:pt idx="14">
                  <c:v>6.7500000000000004E-2</c:v>
                </c:pt>
                <c:pt idx="15">
                  <c:v>7.0000000000000007E-2</c:v>
                </c:pt>
                <c:pt idx="16">
                  <c:v>7.2500000000000009E-2</c:v>
                </c:pt>
                <c:pt idx="17">
                  <c:v>7.5000000000000011E-2</c:v>
                </c:pt>
                <c:pt idx="18">
                  <c:v>7.7500000000000013E-2</c:v>
                </c:pt>
                <c:pt idx="19">
                  <c:v>8.0000000000000016E-2</c:v>
                </c:pt>
                <c:pt idx="20">
                  <c:v>8.2500000000000018E-2</c:v>
                </c:pt>
                <c:pt idx="21">
                  <c:v>8.500000000000002E-2</c:v>
                </c:pt>
                <c:pt idx="22">
                  <c:v>8.7500000000000022E-2</c:v>
                </c:pt>
                <c:pt idx="23">
                  <c:v>9.0000000000000024E-2</c:v>
                </c:pt>
              </c:numCache>
            </c:numRef>
          </c:xVal>
          <c:yVal>
            <c:numRef>
              <c:f>'Data Entry'!$S$4:$S$27</c:f>
              <c:numCache>
                <c:formatCode>0.00</c:formatCode>
                <c:ptCount val="24"/>
                <c:pt idx="0">
                  <c:v>1250.7448294620476</c:v>
                </c:pt>
                <c:pt idx="1">
                  <c:v>1081.2034498932958</c:v>
                </c:pt>
                <c:pt idx="2">
                  <c:v>944.42611635149308</c:v>
                </c:pt>
                <c:pt idx="3">
                  <c:v>832.48389132455429</c:v>
                </c:pt>
                <c:pt idx="4">
                  <c:v>739.70891411448395</c:v>
                </c:pt>
                <c:pt idx="5">
                  <c:v>661.96258079964764</c:v>
                </c:pt>
                <c:pt idx="6">
                  <c:v>596.1658619919275</c:v>
                </c:pt>
                <c:pt idx="7">
                  <c:v>539.98969044771445</c:v>
                </c:pt>
                <c:pt idx="8">
                  <c:v>491.64597773035325</c:v>
                </c:pt>
                <c:pt idx="9">
                  <c:v>449.74354582455726</c:v>
                </c:pt>
                <c:pt idx="10">
                  <c:v>413.18691149165545</c:v>
                </c:pt>
                <c:pt idx="11">
                  <c:v>381.10395169980148</c:v>
                </c:pt>
                <c:pt idx="12">
                  <c:v>352.79340188653708</c:v>
                </c:pt>
                <c:pt idx="13">
                  <c:v>327.68620736551139</c:v>
                </c:pt>
                <c:pt idx="14">
                  <c:v>305.31670257762096</c:v>
                </c:pt>
                <c:pt idx="15">
                  <c:v>285.30086247332355</c:v>
                </c:pt>
                <c:pt idx="16">
                  <c:v>267.31971008214697</c:v>
                </c:pt>
                <c:pt idx="17">
                  <c:v>251.10652908787287</c:v>
                </c:pt>
                <c:pt idx="18">
                  <c:v>236.43691589915255</c:v>
                </c:pt>
                <c:pt idx="19">
                  <c:v>223.12097283113829</c:v>
                </c:pt>
                <c:pt idx="20">
                  <c:v>210.99713147758087</c:v>
                </c:pt>
                <c:pt idx="21">
                  <c:v>199.92722852862076</c:v>
                </c:pt>
                <c:pt idx="22">
                  <c:v>189.79255198292699</c:v>
                </c:pt>
                <c:pt idx="23">
                  <c:v>180.49064519991168</c:v>
                </c:pt>
              </c:numCache>
            </c:numRef>
          </c:yVal>
          <c:smooth val="1"/>
          <c:extLst>
            <c:ext xmlns:c16="http://schemas.microsoft.com/office/drawing/2014/chart" uri="{C3380CC4-5D6E-409C-BE32-E72D297353CC}">
              <c16:uniqueId val="{00000000-CE9D-4EB8-9593-0481E6981FF3}"/>
            </c:ext>
          </c:extLst>
        </c:ser>
        <c:dLbls>
          <c:showLegendKey val="0"/>
          <c:showVal val="0"/>
          <c:showCatName val="0"/>
          <c:showSerName val="0"/>
          <c:showPercent val="0"/>
          <c:showBubbleSize val="0"/>
        </c:dLbls>
        <c:axId val="1477772896"/>
        <c:axId val="1"/>
      </c:scatterChart>
      <c:valAx>
        <c:axId val="1477772896"/>
        <c:scaling>
          <c:orientation val="minMax"/>
        </c:scaling>
        <c:delete val="0"/>
        <c:axPos val="b"/>
        <c:title>
          <c:tx>
            <c:rich>
              <a:bodyPr/>
              <a:lstStyle/>
              <a:p>
                <a:pPr>
                  <a:defRPr sz="1150" b="0" i="0" u="none" strike="noStrike" baseline="0">
                    <a:solidFill>
                      <a:srgbClr val="000000"/>
                    </a:solidFill>
                    <a:latin typeface="Arial"/>
                    <a:ea typeface="Arial"/>
                    <a:cs typeface="Arial"/>
                  </a:defRPr>
                </a:pPr>
                <a:r>
                  <a:rPr lang="en-US"/>
                  <a:t>Overall SE% Desired</a:t>
                </a:r>
              </a:p>
            </c:rich>
          </c:tx>
          <c:layout>
            <c:manualLayout>
              <c:xMode val="edge"/>
              <c:yMode val="edge"/>
              <c:x val="0.148859872139807"/>
              <c:y val="0.77680113062790224"/>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
        <c:crosses val="autoZero"/>
        <c:crossBetween val="midCat"/>
        <c:majorUnit val="0.01"/>
        <c:minorUnit val="0.01"/>
      </c:val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Cost of Cruise</a:t>
                </a:r>
              </a:p>
            </c:rich>
          </c:tx>
          <c:layout>
            <c:manualLayout>
              <c:xMode val="edge"/>
              <c:yMode val="edge"/>
              <c:x val="2.1464715029743536E-2"/>
              <c:y val="0.3805836193552729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477772896"/>
        <c:crosses val="autoZero"/>
        <c:crossBetween val="midCat"/>
      </c:valAx>
      <c:spPr>
        <a:solidFill>
          <a:srgbClr val="FFFFFF"/>
        </a:solidFill>
        <a:ln w="3175">
          <a:solidFill>
            <a:srgbClr val="000000"/>
          </a:solidFill>
          <a:prstDash val="solid"/>
        </a:ln>
      </c:spPr>
    </c:plotArea>
    <c:legend>
      <c:legendPos val="r"/>
      <c:layout>
        <c:manualLayout>
          <c:xMode val="edge"/>
          <c:yMode val="edge"/>
          <c:x val="0.62593455598614434"/>
          <c:y val="2.0513358907059694E-2"/>
          <c:w val="0.17764421296867672"/>
          <c:h val="4.957426475536713E-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a:t>
            </a:r>
            <a:r>
              <a:rPr lang="en-US" baseline="0"/>
              <a:t> </a:t>
            </a:r>
            <a:r>
              <a:rPr lang="en-US"/>
              <a:t>Cost of SE%, 3 options</a:t>
            </a:r>
          </a:p>
        </c:rich>
      </c:tx>
      <c:layout>
        <c:manualLayout>
          <c:xMode val="edge"/>
          <c:yMode val="edge"/>
          <c:x val="0.15384643203524404"/>
          <c:y val="3.4883770927951412E-2"/>
        </c:manualLayout>
      </c:layout>
      <c:overlay val="0"/>
      <c:spPr>
        <a:noFill/>
        <a:ln w="25400">
          <a:noFill/>
        </a:ln>
      </c:spPr>
    </c:title>
    <c:autoTitleDeleted val="0"/>
    <c:plotArea>
      <c:layout>
        <c:manualLayout>
          <c:layoutTarget val="inner"/>
          <c:xMode val="edge"/>
          <c:yMode val="edge"/>
          <c:x val="0.12232054743026086"/>
          <c:y val="0.12209342762744209"/>
          <c:w val="0.81084651543977038"/>
          <c:h val="0.75969243857075064"/>
        </c:manualLayout>
      </c:layout>
      <c:scatterChart>
        <c:scatterStyle val="smoothMarker"/>
        <c:varyColors val="0"/>
        <c:ser>
          <c:idx val="2"/>
          <c:order val="0"/>
          <c:tx>
            <c:v>Optimum</c:v>
          </c:tx>
          <c:spPr>
            <a:ln w="12700">
              <a:solidFill>
                <a:srgbClr val="FF0000"/>
              </a:solidFill>
              <a:prstDash val="solid"/>
            </a:ln>
          </c:spPr>
          <c:marker>
            <c:symbol val="plus"/>
            <c:size val="5"/>
            <c:spPr>
              <a:solidFill>
                <a:srgbClr val="FFFFFF"/>
              </a:solidFill>
              <a:ln>
                <a:solidFill>
                  <a:srgbClr val="000000"/>
                </a:solidFill>
                <a:prstDash val="solid"/>
              </a:ln>
            </c:spPr>
          </c:marker>
          <c:xVal>
            <c:numRef>
              <c:f>'Data Entry'!$R$4:$R$27</c:f>
              <c:numCache>
                <c:formatCode>0.00%</c:formatCode>
                <c:ptCount val="24"/>
                <c:pt idx="0">
                  <c:v>3.2499999999999973E-2</c:v>
                </c:pt>
                <c:pt idx="1">
                  <c:v>3.4999999999999976E-2</c:v>
                </c:pt>
                <c:pt idx="2">
                  <c:v>3.7499999999999978E-2</c:v>
                </c:pt>
                <c:pt idx="3">
                  <c:v>3.999999999999998E-2</c:v>
                </c:pt>
                <c:pt idx="4">
                  <c:v>4.2499999999999982E-2</c:v>
                </c:pt>
                <c:pt idx="5">
                  <c:v>4.4999999999999984E-2</c:v>
                </c:pt>
                <c:pt idx="6">
                  <c:v>4.7499999999999987E-2</c:v>
                </c:pt>
                <c:pt idx="7">
                  <c:v>4.9999999999999989E-2</c:v>
                </c:pt>
                <c:pt idx="8">
                  <c:v>5.2499999999999991E-2</c:v>
                </c:pt>
                <c:pt idx="9">
                  <c:v>5.4999999999999993E-2</c:v>
                </c:pt>
                <c:pt idx="10">
                  <c:v>5.7499999999999996E-2</c:v>
                </c:pt>
                <c:pt idx="11">
                  <c:v>0.06</c:v>
                </c:pt>
                <c:pt idx="12">
                  <c:v>6.25E-2</c:v>
                </c:pt>
                <c:pt idx="13">
                  <c:v>6.5000000000000002E-2</c:v>
                </c:pt>
                <c:pt idx="14">
                  <c:v>6.7500000000000004E-2</c:v>
                </c:pt>
                <c:pt idx="15">
                  <c:v>7.0000000000000007E-2</c:v>
                </c:pt>
                <c:pt idx="16">
                  <c:v>7.2500000000000009E-2</c:v>
                </c:pt>
                <c:pt idx="17">
                  <c:v>7.5000000000000011E-2</c:v>
                </c:pt>
                <c:pt idx="18">
                  <c:v>7.7500000000000013E-2</c:v>
                </c:pt>
                <c:pt idx="19">
                  <c:v>8.0000000000000016E-2</c:v>
                </c:pt>
                <c:pt idx="20">
                  <c:v>8.2500000000000018E-2</c:v>
                </c:pt>
                <c:pt idx="21">
                  <c:v>8.500000000000002E-2</c:v>
                </c:pt>
                <c:pt idx="22">
                  <c:v>8.7500000000000022E-2</c:v>
                </c:pt>
                <c:pt idx="23">
                  <c:v>9.0000000000000024E-2</c:v>
                </c:pt>
              </c:numCache>
            </c:numRef>
          </c:xVal>
          <c:yVal>
            <c:numRef>
              <c:f>'Data Entry'!$S$4:$S$27</c:f>
              <c:numCache>
                <c:formatCode>0.00</c:formatCode>
                <c:ptCount val="24"/>
                <c:pt idx="0">
                  <c:v>1250.7448294620476</c:v>
                </c:pt>
                <c:pt idx="1">
                  <c:v>1081.2034498932958</c:v>
                </c:pt>
                <c:pt idx="2">
                  <c:v>944.42611635149308</c:v>
                </c:pt>
                <c:pt idx="3">
                  <c:v>832.48389132455429</c:v>
                </c:pt>
                <c:pt idx="4">
                  <c:v>739.70891411448395</c:v>
                </c:pt>
                <c:pt idx="5">
                  <c:v>661.96258079964764</c:v>
                </c:pt>
                <c:pt idx="6">
                  <c:v>596.1658619919275</c:v>
                </c:pt>
                <c:pt idx="7">
                  <c:v>539.98969044771445</c:v>
                </c:pt>
                <c:pt idx="8">
                  <c:v>491.64597773035325</c:v>
                </c:pt>
                <c:pt idx="9">
                  <c:v>449.74354582455726</c:v>
                </c:pt>
                <c:pt idx="10">
                  <c:v>413.18691149165545</c:v>
                </c:pt>
                <c:pt idx="11">
                  <c:v>381.10395169980148</c:v>
                </c:pt>
                <c:pt idx="12">
                  <c:v>352.79340188653708</c:v>
                </c:pt>
                <c:pt idx="13">
                  <c:v>327.68620736551139</c:v>
                </c:pt>
                <c:pt idx="14">
                  <c:v>305.31670257762096</c:v>
                </c:pt>
                <c:pt idx="15">
                  <c:v>285.30086247332355</c:v>
                </c:pt>
                <c:pt idx="16">
                  <c:v>267.31971008214697</c:v>
                </c:pt>
                <c:pt idx="17">
                  <c:v>251.10652908787287</c:v>
                </c:pt>
                <c:pt idx="18">
                  <c:v>236.43691589915255</c:v>
                </c:pt>
                <c:pt idx="19">
                  <c:v>223.12097283113829</c:v>
                </c:pt>
                <c:pt idx="20">
                  <c:v>210.99713147758087</c:v>
                </c:pt>
                <c:pt idx="21">
                  <c:v>199.92722852862076</c:v>
                </c:pt>
                <c:pt idx="22">
                  <c:v>189.79255198292699</c:v>
                </c:pt>
                <c:pt idx="23">
                  <c:v>180.49064519991168</c:v>
                </c:pt>
              </c:numCache>
            </c:numRef>
          </c:yVal>
          <c:smooth val="1"/>
          <c:extLst>
            <c:ext xmlns:c16="http://schemas.microsoft.com/office/drawing/2014/chart" uri="{C3380CC4-5D6E-409C-BE32-E72D297353CC}">
              <c16:uniqueId val="{00000000-8FA2-488C-9D4D-826AB4D0FCAE}"/>
            </c:ext>
          </c:extLst>
        </c:ser>
        <c:ser>
          <c:idx val="0"/>
          <c:order val="1"/>
          <c:tx>
            <c:v>Tested Option</c:v>
          </c:tx>
          <c:spPr>
            <a:ln w="12700">
              <a:solidFill>
                <a:srgbClr val="000080"/>
              </a:solidFill>
              <a:prstDash val="solid"/>
            </a:ln>
          </c:spPr>
          <c:marker>
            <c:symbol val="square"/>
            <c:size val="8"/>
            <c:spPr>
              <a:noFill/>
              <a:ln>
                <a:solidFill>
                  <a:srgbClr val="000000"/>
                </a:solidFill>
                <a:prstDash val="solid"/>
              </a:ln>
            </c:spPr>
          </c:marker>
          <c:xVal>
            <c:numRef>
              <c:f>'Data Entry'!$R$4:$R$27</c:f>
              <c:numCache>
                <c:formatCode>0.00%</c:formatCode>
                <c:ptCount val="24"/>
                <c:pt idx="0">
                  <c:v>3.2499999999999973E-2</c:v>
                </c:pt>
                <c:pt idx="1">
                  <c:v>3.4999999999999976E-2</c:v>
                </c:pt>
                <c:pt idx="2">
                  <c:v>3.7499999999999978E-2</c:v>
                </c:pt>
                <c:pt idx="3">
                  <c:v>3.999999999999998E-2</c:v>
                </c:pt>
                <c:pt idx="4">
                  <c:v>4.2499999999999982E-2</c:v>
                </c:pt>
                <c:pt idx="5">
                  <c:v>4.4999999999999984E-2</c:v>
                </c:pt>
                <c:pt idx="6">
                  <c:v>4.7499999999999987E-2</c:v>
                </c:pt>
                <c:pt idx="7">
                  <c:v>4.9999999999999989E-2</c:v>
                </c:pt>
                <c:pt idx="8">
                  <c:v>5.2499999999999991E-2</c:v>
                </c:pt>
                <c:pt idx="9">
                  <c:v>5.4999999999999993E-2</c:v>
                </c:pt>
                <c:pt idx="10">
                  <c:v>5.7499999999999996E-2</c:v>
                </c:pt>
                <c:pt idx="11">
                  <c:v>0.06</c:v>
                </c:pt>
                <c:pt idx="12">
                  <c:v>6.25E-2</c:v>
                </c:pt>
                <c:pt idx="13">
                  <c:v>6.5000000000000002E-2</c:v>
                </c:pt>
                <c:pt idx="14">
                  <c:v>6.7500000000000004E-2</c:v>
                </c:pt>
                <c:pt idx="15">
                  <c:v>7.0000000000000007E-2</c:v>
                </c:pt>
                <c:pt idx="16">
                  <c:v>7.2500000000000009E-2</c:v>
                </c:pt>
                <c:pt idx="17">
                  <c:v>7.5000000000000011E-2</c:v>
                </c:pt>
                <c:pt idx="18">
                  <c:v>7.7500000000000013E-2</c:v>
                </c:pt>
                <c:pt idx="19">
                  <c:v>8.0000000000000016E-2</c:v>
                </c:pt>
                <c:pt idx="20">
                  <c:v>8.2500000000000018E-2</c:v>
                </c:pt>
                <c:pt idx="21">
                  <c:v>8.500000000000002E-2</c:v>
                </c:pt>
                <c:pt idx="22">
                  <c:v>8.7500000000000022E-2</c:v>
                </c:pt>
                <c:pt idx="23">
                  <c:v>9.0000000000000024E-2</c:v>
                </c:pt>
              </c:numCache>
            </c:numRef>
          </c:xVal>
          <c:yVal>
            <c:numRef>
              <c:f>'Data Entry'!$W$4:$W$27</c:f>
              <c:numCache>
                <c:formatCode>0.00</c:formatCode>
                <c:ptCount val="24"/>
                <c:pt idx="0">
                  <c:v>1369.112426035505</c:v>
                </c:pt>
                <c:pt idx="1">
                  <c:v>1183.2653061224505</c:v>
                </c:pt>
                <c:pt idx="2">
                  <c:v>1033.3333333333344</c:v>
                </c:pt>
                <c:pt idx="3">
                  <c:v>910.6250000000008</c:v>
                </c:pt>
                <c:pt idx="4">
                  <c:v>808.92733564013906</c:v>
                </c:pt>
                <c:pt idx="5">
                  <c:v>723.70370370370415</c:v>
                </c:pt>
                <c:pt idx="6">
                  <c:v>651.57894736842138</c:v>
                </c:pt>
                <c:pt idx="7">
                  <c:v>590.00000000000023</c:v>
                </c:pt>
                <c:pt idx="8">
                  <c:v>537.00680272108855</c:v>
                </c:pt>
                <c:pt idx="9">
                  <c:v>491.07438016528931</c:v>
                </c:pt>
                <c:pt idx="10">
                  <c:v>451.00189035916827</c:v>
                </c:pt>
                <c:pt idx="11">
                  <c:v>415.83333333333326</c:v>
                </c:pt>
                <c:pt idx="12">
                  <c:v>384.79999999999995</c:v>
                </c:pt>
                <c:pt idx="13">
                  <c:v>357.27810650887568</c:v>
                </c:pt>
                <c:pt idx="14">
                  <c:v>332.75720164609049</c:v>
                </c:pt>
                <c:pt idx="15">
                  <c:v>310.81632653061217</c:v>
                </c:pt>
                <c:pt idx="16">
                  <c:v>291.10582639714619</c:v>
                </c:pt>
                <c:pt idx="17">
                  <c:v>273.33333333333326</c:v>
                </c:pt>
                <c:pt idx="18">
                  <c:v>257.25286160249732</c:v>
                </c:pt>
                <c:pt idx="19">
                  <c:v>242.65624999999989</c:v>
                </c:pt>
                <c:pt idx="20">
                  <c:v>229.36639118457288</c:v>
                </c:pt>
                <c:pt idx="21">
                  <c:v>217.23183391003448</c:v>
                </c:pt>
                <c:pt idx="22">
                  <c:v>206.12244897959172</c:v>
                </c:pt>
                <c:pt idx="23">
                  <c:v>195.92592592592581</c:v>
                </c:pt>
              </c:numCache>
            </c:numRef>
          </c:yVal>
          <c:smooth val="1"/>
          <c:extLst>
            <c:ext xmlns:c16="http://schemas.microsoft.com/office/drawing/2014/chart" uri="{C3380CC4-5D6E-409C-BE32-E72D297353CC}">
              <c16:uniqueId val="{00000001-8FA2-488C-9D4D-826AB4D0FCAE}"/>
            </c:ext>
          </c:extLst>
        </c:ser>
        <c:ser>
          <c:idx val="2"/>
          <c:order val="2"/>
          <c:tx>
            <c:v>Full Measure</c:v>
          </c:tx>
          <c:spPr>
            <a:ln w="12700">
              <a:solidFill>
                <a:srgbClr val="FF0000"/>
              </a:solidFill>
              <a:prstDash val="solid"/>
            </a:ln>
          </c:spPr>
          <c:marker>
            <c:symbol val="circle"/>
            <c:size val="5"/>
            <c:spPr>
              <a:solidFill>
                <a:srgbClr val="FFFFFF"/>
              </a:solidFill>
              <a:ln>
                <a:solidFill>
                  <a:srgbClr val="000000"/>
                </a:solidFill>
                <a:prstDash val="solid"/>
              </a:ln>
            </c:spPr>
          </c:marker>
          <c:xVal>
            <c:numRef>
              <c:f>'Data Entry'!$R$4:$R$27</c:f>
              <c:numCache>
                <c:formatCode>0.00%</c:formatCode>
                <c:ptCount val="24"/>
                <c:pt idx="0">
                  <c:v>3.2499999999999973E-2</c:v>
                </c:pt>
                <c:pt idx="1">
                  <c:v>3.4999999999999976E-2</c:v>
                </c:pt>
                <c:pt idx="2">
                  <c:v>3.7499999999999978E-2</c:v>
                </c:pt>
                <c:pt idx="3">
                  <c:v>3.999999999999998E-2</c:v>
                </c:pt>
                <c:pt idx="4">
                  <c:v>4.2499999999999982E-2</c:v>
                </c:pt>
                <c:pt idx="5">
                  <c:v>4.4999999999999984E-2</c:v>
                </c:pt>
                <c:pt idx="6">
                  <c:v>4.7499999999999987E-2</c:v>
                </c:pt>
                <c:pt idx="7">
                  <c:v>4.9999999999999989E-2</c:v>
                </c:pt>
                <c:pt idx="8">
                  <c:v>5.2499999999999991E-2</c:v>
                </c:pt>
                <c:pt idx="9">
                  <c:v>5.4999999999999993E-2</c:v>
                </c:pt>
                <c:pt idx="10">
                  <c:v>5.7499999999999996E-2</c:v>
                </c:pt>
                <c:pt idx="11">
                  <c:v>0.06</c:v>
                </c:pt>
                <c:pt idx="12">
                  <c:v>6.25E-2</c:v>
                </c:pt>
                <c:pt idx="13">
                  <c:v>6.5000000000000002E-2</c:v>
                </c:pt>
                <c:pt idx="14">
                  <c:v>6.7500000000000004E-2</c:v>
                </c:pt>
                <c:pt idx="15">
                  <c:v>7.0000000000000007E-2</c:v>
                </c:pt>
                <c:pt idx="16">
                  <c:v>7.2500000000000009E-2</c:v>
                </c:pt>
                <c:pt idx="17">
                  <c:v>7.5000000000000011E-2</c:v>
                </c:pt>
                <c:pt idx="18">
                  <c:v>7.7500000000000013E-2</c:v>
                </c:pt>
                <c:pt idx="19">
                  <c:v>8.0000000000000016E-2</c:v>
                </c:pt>
                <c:pt idx="20">
                  <c:v>8.2500000000000018E-2</c:v>
                </c:pt>
                <c:pt idx="21">
                  <c:v>8.500000000000002E-2</c:v>
                </c:pt>
                <c:pt idx="22">
                  <c:v>8.7500000000000022E-2</c:v>
                </c:pt>
                <c:pt idx="23">
                  <c:v>9.0000000000000024E-2</c:v>
                </c:pt>
              </c:numCache>
            </c:numRef>
          </c:xVal>
          <c:yVal>
            <c:numRef>
              <c:f>'Data Entry'!$AA$4:$AA$27</c:f>
              <c:numCache>
                <c:formatCode>0.00</c:formatCode>
                <c:ptCount val="24"/>
                <c:pt idx="0">
                  <c:v>2221.1834319526661</c:v>
                </c:pt>
                <c:pt idx="1">
                  <c:v>1917.9591836734721</c:v>
                </c:pt>
                <c:pt idx="2">
                  <c:v>1673.3333333333348</c:v>
                </c:pt>
                <c:pt idx="3">
                  <c:v>1473.1250000000014</c:v>
                </c:pt>
                <c:pt idx="4">
                  <c:v>1307.1972318339112</c:v>
                </c:pt>
                <c:pt idx="5">
                  <c:v>1168.1481481481487</c:v>
                </c:pt>
                <c:pt idx="6">
                  <c:v>1050.4709141274243</c:v>
                </c:pt>
                <c:pt idx="7">
                  <c:v>950.00000000000045</c:v>
                </c:pt>
                <c:pt idx="8">
                  <c:v>863.53741496598661</c:v>
                </c:pt>
                <c:pt idx="9">
                  <c:v>788.59504132231416</c:v>
                </c:pt>
                <c:pt idx="10">
                  <c:v>723.21361058601144</c:v>
                </c:pt>
                <c:pt idx="11">
                  <c:v>665.83333333333326</c:v>
                </c:pt>
                <c:pt idx="12">
                  <c:v>615.19999999999993</c:v>
                </c:pt>
                <c:pt idx="13">
                  <c:v>570.29585798816549</c:v>
                </c:pt>
                <c:pt idx="14">
                  <c:v>530.28806584362133</c:v>
                </c:pt>
                <c:pt idx="15">
                  <c:v>494.48979591836724</c:v>
                </c:pt>
                <c:pt idx="16">
                  <c:v>462.3305588585016</c:v>
                </c:pt>
                <c:pt idx="17">
                  <c:v>433.3333333333332</c:v>
                </c:pt>
                <c:pt idx="18">
                  <c:v>407.09677419354819</c:v>
                </c:pt>
                <c:pt idx="19">
                  <c:v>383.28124999999977</c:v>
                </c:pt>
                <c:pt idx="20">
                  <c:v>361.59779614325055</c:v>
                </c:pt>
                <c:pt idx="21">
                  <c:v>341.79930795847736</c:v>
                </c:pt>
                <c:pt idx="22">
                  <c:v>323.67346938775489</c:v>
                </c:pt>
                <c:pt idx="23">
                  <c:v>307.03703703703684</c:v>
                </c:pt>
              </c:numCache>
            </c:numRef>
          </c:yVal>
          <c:smooth val="1"/>
          <c:extLst>
            <c:ext xmlns:c16="http://schemas.microsoft.com/office/drawing/2014/chart" uri="{C3380CC4-5D6E-409C-BE32-E72D297353CC}">
              <c16:uniqueId val="{00000002-8FA2-488C-9D4D-826AB4D0FCAE}"/>
            </c:ext>
          </c:extLst>
        </c:ser>
        <c:dLbls>
          <c:showLegendKey val="0"/>
          <c:showVal val="0"/>
          <c:showCatName val="0"/>
          <c:showSerName val="0"/>
          <c:showPercent val="0"/>
          <c:showBubbleSize val="0"/>
        </c:dLbls>
        <c:axId val="1477761376"/>
        <c:axId val="1"/>
      </c:scatterChart>
      <c:valAx>
        <c:axId val="1477761376"/>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US"/>
                  <a:t>Overall </a:t>
                </a:r>
                <a:r>
                  <a:rPr lang="en-US" b="1"/>
                  <a:t>SE% </a:t>
                </a:r>
                <a:r>
                  <a:rPr lang="en-US"/>
                  <a:t>Desired</a:t>
                </a:r>
              </a:p>
            </c:rich>
          </c:tx>
          <c:layout>
            <c:manualLayout>
              <c:xMode val="edge"/>
              <c:yMode val="edge"/>
              <c:x val="0.15226735488961585"/>
              <c:y val="0.81225659079304502"/>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
        <c:crosses val="autoZero"/>
        <c:crossBetween val="midCat"/>
        <c:majorUnit val="0.01"/>
        <c:minorUnit val="0.01"/>
      </c:valAx>
      <c:valAx>
        <c:axId val="1"/>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Cost of Cruise</a:t>
                </a:r>
              </a:p>
            </c:rich>
          </c:tx>
          <c:layout>
            <c:manualLayout>
              <c:xMode val="edge"/>
              <c:yMode val="edge"/>
              <c:x val="1.1349267667220095E-2"/>
              <c:y val="0.3759702776060842"/>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477761376"/>
        <c:crosses val="autoZero"/>
        <c:crossBetween val="midCat"/>
      </c:valAx>
      <c:spPr>
        <a:solidFill>
          <a:srgbClr val="FFFFFF"/>
        </a:solidFill>
        <a:ln w="3175">
          <a:solidFill>
            <a:srgbClr val="000000"/>
          </a:solidFill>
          <a:prstDash val="solid"/>
        </a:ln>
      </c:spPr>
    </c:plotArea>
    <c:legend>
      <c:legendPos val="r"/>
      <c:layout>
        <c:manualLayout>
          <c:xMode val="edge"/>
          <c:yMode val="edge"/>
          <c:x val="0.52089375832196338"/>
          <c:y val="4.948966703394158E-2"/>
          <c:w val="0.45721746420528331"/>
          <c:h val="4.94896670339415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u="sng"/>
              <a:t>Total</a:t>
            </a:r>
            <a:r>
              <a:rPr lang="en-US"/>
              <a:t> Cost of Cruise, (SE% can vary)</a:t>
            </a:r>
          </a:p>
        </c:rich>
      </c:tx>
      <c:layout>
        <c:manualLayout>
          <c:xMode val="edge"/>
          <c:yMode val="edge"/>
          <c:x val="8.7011490473920414E-2"/>
          <c:y val="1.5503748891456826E-2"/>
        </c:manualLayout>
      </c:layout>
      <c:overlay val="0"/>
      <c:spPr>
        <a:noFill/>
        <a:ln w="25400">
          <a:noFill/>
        </a:ln>
      </c:spPr>
    </c:title>
    <c:autoTitleDeleted val="0"/>
    <c:plotArea>
      <c:layout>
        <c:manualLayout>
          <c:layoutTarget val="inner"/>
          <c:xMode val="edge"/>
          <c:yMode val="edge"/>
          <c:x val="9.6623214373777397E-2"/>
          <c:y val="0.13405208964264084"/>
          <c:w val="0.8688541977262858"/>
          <c:h val="0.81201819326822589"/>
        </c:manualLayout>
      </c:layout>
      <c:scatterChart>
        <c:scatterStyle val="smoothMarker"/>
        <c:varyColors val="0"/>
        <c:ser>
          <c:idx val="2"/>
          <c:order val="0"/>
          <c:tx>
            <c:v>Range</c:v>
          </c:tx>
          <c:spPr>
            <a:ln w="12700">
              <a:solidFill>
                <a:schemeClr val="tx1"/>
              </a:solidFill>
              <a:prstDash val="dash"/>
            </a:ln>
          </c:spPr>
          <c:marker>
            <c:symbol val="plus"/>
            <c:size val="12"/>
            <c:spPr>
              <a:solidFill>
                <a:srgbClr val="FFFFFF"/>
              </a:solidFill>
              <a:ln>
                <a:solidFill>
                  <a:srgbClr val="FF0000">
                    <a:alpha val="96000"/>
                  </a:srgbClr>
                </a:solidFill>
                <a:prstDash val="solid"/>
              </a:ln>
            </c:spPr>
          </c:marker>
          <c:xVal>
            <c:numRef>
              <c:f>'Data Entry'!$J$8:$J$24</c:f>
              <c:numCache>
                <c:formatCode>0.00</c:formatCode>
                <c:ptCount val="17"/>
                <c:pt idx="0">
                  <c:v>24</c:v>
                </c:pt>
                <c:pt idx="1">
                  <c:v>27</c:v>
                </c:pt>
                <c:pt idx="2">
                  <c:v>30</c:v>
                </c:pt>
                <c:pt idx="3">
                  <c:v>33</c:v>
                </c:pt>
                <c:pt idx="4">
                  <c:v>36</c:v>
                </c:pt>
                <c:pt idx="5">
                  <c:v>39</c:v>
                </c:pt>
                <c:pt idx="6">
                  <c:v>42</c:v>
                </c:pt>
                <c:pt idx="7">
                  <c:v>45</c:v>
                </c:pt>
                <c:pt idx="8">
                  <c:v>48</c:v>
                </c:pt>
                <c:pt idx="9">
                  <c:v>51</c:v>
                </c:pt>
                <c:pt idx="10">
                  <c:v>54</c:v>
                </c:pt>
                <c:pt idx="11">
                  <c:v>57</c:v>
                </c:pt>
                <c:pt idx="12">
                  <c:v>60</c:v>
                </c:pt>
                <c:pt idx="13">
                  <c:v>63</c:v>
                </c:pt>
                <c:pt idx="14">
                  <c:v>66</c:v>
                </c:pt>
                <c:pt idx="15">
                  <c:v>69</c:v>
                </c:pt>
                <c:pt idx="16">
                  <c:v>72</c:v>
                </c:pt>
              </c:numCache>
            </c:numRef>
          </c:xVal>
          <c:yVal>
            <c:numRef>
              <c:f>'Data Entry'!$N$8:$N$24</c:f>
              <c:numCache>
                <c:formatCode>0.0</c:formatCode>
                <c:ptCount val="17"/>
                <c:pt idx="0">
                  <c:v>0</c:v>
                </c:pt>
                <c:pt idx="1">
                  <c:v>0</c:v>
                </c:pt>
                <c:pt idx="2">
                  <c:v>0</c:v>
                </c:pt>
                <c:pt idx="3">
                  <c:v>0</c:v>
                </c:pt>
                <c:pt idx="4">
                  <c:v>641.63380281690024</c:v>
                </c:pt>
                <c:pt idx="5">
                  <c:v>428.3016759776533</c:v>
                </c:pt>
                <c:pt idx="6">
                  <c:v>389.07317073170731</c:v>
                </c:pt>
                <c:pt idx="7">
                  <c:v>381.13924050632903</c:v>
                </c:pt>
                <c:pt idx="8">
                  <c:v>384.34194831013917</c:v>
                </c:pt>
                <c:pt idx="9">
                  <c:v>392.77577741407526</c:v>
                </c:pt>
                <c:pt idx="10">
                  <c:v>404.08344923504865</c:v>
                </c:pt>
                <c:pt idx="11">
                  <c:v>417.13905683192257</c:v>
                </c:pt>
                <c:pt idx="12">
                  <c:v>431.33689839572196</c:v>
                </c:pt>
                <c:pt idx="13">
                  <c:v>446.32214765100673</c:v>
                </c:pt>
                <c:pt idx="14">
                  <c:v>461.87315377932231</c:v>
                </c:pt>
                <c:pt idx="15">
                  <c:v>477.84432088959494</c:v>
                </c:pt>
                <c:pt idx="16">
                  <c:v>494.1360643745428</c:v>
                </c:pt>
              </c:numCache>
            </c:numRef>
          </c:yVal>
          <c:smooth val="1"/>
          <c:extLst>
            <c:ext xmlns:c16="http://schemas.microsoft.com/office/drawing/2014/chart" uri="{C3380CC4-5D6E-409C-BE32-E72D297353CC}">
              <c16:uniqueId val="{00000000-E16E-42DC-AEBD-DB0AC84B3176}"/>
            </c:ext>
          </c:extLst>
        </c:ser>
        <c:ser>
          <c:idx val="0"/>
          <c:order val="1"/>
          <c:tx>
            <c:v>Full Meas</c:v>
          </c:tx>
          <c:spPr>
            <a:ln w="28575">
              <a:noFill/>
            </a:ln>
          </c:spPr>
          <c:marker>
            <c:symbol val="circle"/>
            <c:size val="9"/>
            <c:spPr>
              <a:noFill/>
              <a:ln w="22225">
                <a:solidFill>
                  <a:srgbClr val="000000"/>
                </a:solidFill>
                <a:prstDash val="solid"/>
              </a:ln>
            </c:spPr>
          </c:marker>
          <c:dPt>
            <c:idx val="0"/>
            <c:marker>
              <c:symbol val="circle"/>
              <c:size val="17"/>
              <c:spPr>
                <a:noFill/>
                <a:ln w="22225">
                  <a:solidFill>
                    <a:srgbClr val="000000">
                      <a:alpha val="98000"/>
                    </a:srgbClr>
                  </a:solidFill>
                  <a:prstDash val="solid"/>
                </a:ln>
              </c:spPr>
            </c:marker>
            <c:bubble3D val="0"/>
            <c:extLst>
              <c:ext xmlns:c16="http://schemas.microsoft.com/office/drawing/2014/chart" uri="{C3380CC4-5D6E-409C-BE32-E72D297353CC}">
                <c16:uniqueId val="{00000003-E16E-42DC-AEBD-DB0AC84B3176}"/>
              </c:ext>
            </c:extLst>
          </c:dPt>
          <c:xVal>
            <c:numRef>
              <c:f>'Data Entry'!$J$4</c:f>
              <c:numCache>
                <c:formatCode>0.00</c:formatCode>
                <c:ptCount val="1"/>
                <c:pt idx="0">
                  <c:v>35.879629629629626</c:v>
                </c:pt>
              </c:numCache>
            </c:numRef>
          </c:xVal>
          <c:yVal>
            <c:numRef>
              <c:f>'Data Entry'!$N$4</c:f>
              <c:numCache>
                <c:formatCode>0.0</c:formatCode>
                <c:ptCount val="1"/>
                <c:pt idx="0">
                  <c:v>665.83333333333326</c:v>
                </c:pt>
              </c:numCache>
            </c:numRef>
          </c:yVal>
          <c:smooth val="0"/>
          <c:extLst>
            <c:ext xmlns:c16="http://schemas.microsoft.com/office/drawing/2014/chart" uri="{C3380CC4-5D6E-409C-BE32-E72D297353CC}">
              <c16:uniqueId val="{00000001-E16E-42DC-AEBD-DB0AC84B3176}"/>
            </c:ext>
          </c:extLst>
        </c:ser>
        <c:ser>
          <c:idx val="1"/>
          <c:order val="2"/>
          <c:tx>
            <c:v>Tested</c:v>
          </c:tx>
          <c:spPr>
            <a:ln w="12700">
              <a:solidFill>
                <a:srgbClr val="FF00FF"/>
              </a:solidFill>
              <a:prstDash val="solid"/>
            </a:ln>
          </c:spPr>
          <c:marker>
            <c:symbol val="square"/>
            <c:size val="15"/>
            <c:spPr>
              <a:solidFill>
                <a:srgbClr val="FFC000"/>
              </a:solidFill>
              <a:ln>
                <a:solidFill>
                  <a:srgbClr val="FF00FF"/>
                </a:solidFill>
                <a:prstDash val="solid"/>
              </a:ln>
            </c:spPr>
          </c:marker>
          <c:xVal>
            <c:numRef>
              <c:f>'Data Entry'!$J$5</c:f>
              <c:numCache>
                <c:formatCode>0.00</c:formatCode>
                <c:ptCount val="1"/>
                <c:pt idx="0">
                  <c:v>40</c:v>
                </c:pt>
              </c:numCache>
            </c:numRef>
          </c:xVal>
          <c:yVal>
            <c:numRef>
              <c:f>'Data Entry'!$N$5</c:f>
              <c:numCache>
                <c:formatCode>0.0</c:formatCode>
                <c:ptCount val="1"/>
                <c:pt idx="0">
                  <c:v>420</c:v>
                </c:pt>
              </c:numCache>
            </c:numRef>
          </c:yVal>
          <c:smooth val="1"/>
          <c:extLst>
            <c:ext xmlns:c16="http://schemas.microsoft.com/office/drawing/2014/chart" uri="{C3380CC4-5D6E-409C-BE32-E72D297353CC}">
              <c16:uniqueId val="{00000002-E16E-42DC-AEBD-DB0AC84B3176}"/>
            </c:ext>
          </c:extLst>
        </c:ser>
        <c:dLbls>
          <c:showLegendKey val="0"/>
          <c:showVal val="0"/>
          <c:showCatName val="0"/>
          <c:showSerName val="0"/>
          <c:showPercent val="0"/>
          <c:showBubbleSize val="0"/>
        </c:dLbls>
        <c:axId val="1477760896"/>
        <c:axId val="1"/>
      </c:scatterChart>
      <c:valAx>
        <c:axId val="1477760896"/>
        <c:scaling>
          <c:orientation val="minMax"/>
        </c:scaling>
        <c:delete val="0"/>
        <c:axPos val="b"/>
        <c:title>
          <c:tx>
            <c:rich>
              <a:bodyPr/>
              <a:lstStyle/>
              <a:p>
                <a:pPr>
                  <a:defRPr sz="950" b="1" i="0" u="none" strike="noStrike" baseline="0">
                    <a:solidFill>
                      <a:srgbClr val="000000"/>
                    </a:solidFill>
                    <a:latin typeface="Arial"/>
                    <a:ea typeface="Arial"/>
                    <a:cs typeface="Arial"/>
                  </a:defRPr>
                </a:pPr>
                <a:r>
                  <a:rPr lang="en-US"/>
                  <a:t>Number of Plots</a:t>
                </a:r>
              </a:p>
            </c:rich>
          </c:tx>
          <c:layout>
            <c:manualLayout>
              <c:xMode val="edge"/>
              <c:yMode val="edge"/>
              <c:x val="0.14491180773593279"/>
              <c:y val="0.87866194401285125"/>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min val="0"/>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u="sng"/>
                  <a:t>Cost</a:t>
                </a:r>
                <a:r>
                  <a:rPr lang="en-US"/>
                  <a:t>  of cruise</a:t>
                </a:r>
              </a:p>
            </c:rich>
          </c:tx>
          <c:layout>
            <c:manualLayout>
              <c:xMode val="edge"/>
              <c:yMode val="edge"/>
              <c:x val="8.827281245376687E-3"/>
              <c:y val="0.40310203971943781"/>
            </c:manualLayout>
          </c:layout>
          <c:overlay val="0"/>
          <c:spPr>
            <a:solidFill>
              <a:srgbClr val="FFFFFF"/>
            </a:solid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477760896"/>
        <c:crosses val="autoZero"/>
        <c:crossBetween val="midCat"/>
      </c:valAx>
      <c:spPr>
        <a:solidFill>
          <a:srgbClr val="FFFFFF"/>
        </a:solidFill>
        <a:ln w="3175">
          <a:solidFill>
            <a:srgbClr val="000000"/>
          </a:solidFill>
          <a:prstDash val="solid"/>
        </a:ln>
      </c:spPr>
    </c:plotArea>
    <c:legend>
      <c:legendPos val="r"/>
      <c:layout>
        <c:manualLayout>
          <c:xMode val="edge"/>
          <c:yMode val="edge"/>
          <c:x val="0.57726316308582504"/>
          <c:y val="2.2185106554513452E-2"/>
          <c:w val="0.36326862064997612"/>
          <c:h val="5.2902636317218026E-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For SE% noted in yellow below, </a:t>
            </a:r>
            <a:br>
              <a:rPr lang="en-US"/>
            </a:br>
            <a:r>
              <a:rPr lang="en-US"/>
              <a:t>choice of TC/VBAR </a:t>
            </a:r>
            <a:r>
              <a:rPr lang="en-US" u="sng"/>
              <a:t>combinations</a:t>
            </a:r>
          </a:p>
        </c:rich>
      </c:tx>
      <c:layout>
        <c:manualLayout>
          <c:xMode val="edge"/>
          <c:yMode val="edge"/>
          <c:x val="0.17889358250819506"/>
          <c:y val="1.3592300962379702E-2"/>
        </c:manualLayout>
      </c:layout>
      <c:overlay val="0"/>
      <c:spPr>
        <a:noFill/>
        <a:ln w="25400">
          <a:noFill/>
        </a:ln>
      </c:spPr>
    </c:title>
    <c:autoTitleDeleted val="0"/>
    <c:plotArea>
      <c:layout>
        <c:manualLayout>
          <c:layoutTarget val="inner"/>
          <c:xMode val="edge"/>
          <c:yMode val="edge"/>
          <c:x val="0.11196930546899513"/>
          <c:y val="0.15339849457247776"/>
          <c:w val="0.83140426819506719"/>
          <c:h val="0.72039039856188924"/>
        </c:manualLayout>
      </c:layout>
      <c:scatterChart>
        <c:scatterStyle val="smoothMarker"/>
        <c:varyColors val="0"/>
        <c:ser>
          <c:idx val="2"/>
          <c:order val="0"/>
          <c:tx>
            <c:v># of Counts</c:v>
          </c:tx>
          <c:spPr>
            <a:ln w="12700">
              <a:solidFill>
                <a:srgbClr val="FF0000"/>
              </a:solidFill>
              <a:prstDash val="solid"/>
            </a:ln>
          </c:spPr>
          <c:marker>
            <c:symbol val="circle"/>
            <c:size val="5"/>
            <c:spPr>
              <a:solidFill>
                <a:srgbClr val="FFFFFF"/>
              </a:solidFill>
              <a:ln>
                <a:solidFill>
                  <a:srgbClr val="000000"/>
                </a:solidFill>
                <a:prstDash val="solid"/>
              </a:ln>
            </c:spPr>
          </c:marker>
          <c:xVal>
            <c:numRef>
              <c:f>Graphs!$Y$12:$Y$47</c:f>
              <c:numCache>
                <c:formatCode>_(* #,##0_);_(* \(#,##0\);_(* "-"??_);_(@_)</c:formatCode>
                <c:ptCount val="36"/>
                <c:pt idx="0">
                  <c:v>26.041666666666664</c:v>
                </c:pt>
                <c:pt idx="1">
                  <c:v>26.271542664985294</c:v>
                </c:pt>
                <c:pt idx="2">
                  <c:v>26.528013582342957</c:v>
                </c:pt>
                <c:pt idx="3">
                  <c:v>26.812526812526812</c:v>
                </c:pt>
                <c:pt idx="4">
                  <c:v>27.126736111111118</c:v>
                </c:pt>
                <c:pt idx="5">
                  <c:v>27.472527472527478</c:v>
                </c:pt>
                <c:pt idx="6">
                  <c:v>27.85204991087344</c:v>
                </c:pt>
                <c:pt idx="7">
                  <c:v>28.267752148349164</c:v>
                </c:pt>
                <c:pt idx="8">
                  <c:v>28.722426470588243</c:v>
                </c:pt>
                <c:pt idx="9">
                  <c:v>29.219261337073402</c:v>
                </c:pt>
                <c:pt idx="10">
                  <c:v>29.76190476190477</c:v>
                </c:pt>
                <c:pt idx="11">
                  <c:v>30.354541039339484</c:v>
                </c:pt>
                <c:pt idx="12">
                  <c:v>31.00198412698413</c:v>
                </c:pt>
                <c:pt idx="13">
                  <c:v>31.709791983764593</c:v>
                </c:pt>
                <c:pt idx="14">
                  <c:v>32.484407484407484</c:v>
                </c:pt>
                <c:pt idx="15">
                  <c:v>33.333333333333343</c:v>
                </c:pt>
                <c:pt idx="16">
                  <c:v>34.265350877192972</c:v>
                </c:pt>
                <c:pt idx="17">
                  <c:v>35.290796160361367</c:v>
                </c:pt>
                <c:pt idx="18">
                  <c:v>36.421911421911418</c:v>
                </c:pt>
                <c:pt idx="19">
                  <c:v>37.673297166968041</c:v>
                </c:pt>
                <c:pt idx="20">
                  <c:v>39.062499999999986</c:v>
                </c:pt>
                <c:pt idx="21">
                  <c:v>40.61078622482129</c:v>
                </c:pt>
                <c:pt idx="22">
                  <c:v>42.344173441734391</c:v>
                </c:pt>
                <c:pt idx="23">
                  <c:v>44.294826364280617</c:v>
                </c:pt>
                <c:pt idx="24">
                  <c:v>46.502976190476147</c:v>
                </c:pt>
                <c:pt idx="25">
                  <c:v>49.019607843137209</c:v>
                </c:pt>
                <c:pt idx="26">
                  <c:v>51.910299003322194</c:v>
                </c:pt>
                <c:pt idx="27">
                  <c:v>55.260831122900008</c:v>
                </c:pt>
                <c:pt idx="28">
                  <c:v>59.185606060605934</c:v>
                </c:pt>
                <c:pt idx="29">
                  <c:v>63.840653728294029</c:v>
                </c:pt>
                <c:pt idx="30">
                  <c:v>69.444444444444272</c:v>
                </c:pt>
                <c:pt idx="31">
                  <c:v>76.312576312576169</c:v>
                </c:pt>
                <c:pt idx="32">
                  <c:v>84.918478260869364</c:v>
                </c:pt>
                <c:pt idx="33">
                  <c:v>96.006144393240916</c:v>
                </c:pt>
                <c:pt idx="34">
                  <c:v>110.81560283687918</c:v>
                </c:pt>
                <c:pt idx="35">
                  <c:v>131.57894736842078</c:v>
                </c:pt>
              </c:numCache>
            </c:numRef>
          </c:xVal>
          <c:yVal>
            <c:numRef>
              <c:f>Graphs!$X$12:$X$47</c:f>
              <c:numCache>
                <c:formatCode>_(* #,##0_);_(* \(#,##0\);_(* "-"??_);_(@_)</c:formatCode>
                <c:ptCount val="36"/>
                <c:pt idx="0">
                  <c:v>1914.0624999999989</c:v>
                </c:pt>
                <c:pt idx="1">
                  <c:v>1581.8698347107427</c:v>
                </c:pt>
                <c:pt idx="2">
                  <c:v>1329.2100694444437</c:v>
                </c:pt>
                <c:pt idx="3">
                  <c:v>1132.5813609467446</c:v>
                </c:pt>
                <c:pt idx="4">
                  <c:v>976.56249999999932</c:v>
                </c:pt>
                <c:pt idx="5">
                  <c:v>850.69444444444389</c:v>
                </c:pt>
                <c:pt idx="6">
                  <c:v>747.68066406249943</c:v>
                </c:pt>
                <c:pt idx="7">
                  <c:v>662.30536332179872</c:v>
                </c:pt>
                <c:pt idx="8">
                  <c:v>590.76003086419712</c:v>
                </c:pt>
                <c:pt idx="9">
                  <c:v>530.21121883656463</c:v>
                </c:pt>
                <c:pt idx="10">
                  <c:v>478.51562499999972</c:v>
                </c:pt>
                <c:pt idx="11">
                  <c:v>434.0277777777776</c:v>
                </c:pt>
                <c:pt idx="12">
                  <c:v>395.46745867768584</c:v>
                </c:pt>
                <c:pt idx="13">
                  <c:v>361.82655954631377</c:v>
                </c:pt>
                <c:pt idx="14">
                  <c:v>332.30251736111114</c:v>
                </c:pt>
                <c:pt idx="15">
                  <c:v>306.25</c:v>
                </c:pt>
                <c:pt idx="16">
                  <c:v>283.14534023668648</c:v>
                </c:pt>
                <c:pt idx="17">
                  <c:v>262.56001371742121</c:v>
                </c:pt>
                <c:pt idx="18">
                  <c:v>244.14062500000011</c:v>
                </c:pt>
                <c:pt idx="19">
                  <c:v>227.59363852556496</c:v>
                </c:pt>
                <c:pt idx="20">
                  <c:v>212.67361111111128</c:v>
                </c:pt>
                <c:pt idx="21">
                  <c:v>199.1740374609783</c:v>
                </c:pt>
                <c:pt idx="22">
                  <c:v>186.92016601562514</c:v>
                </c:pt>
                <c:pt idx="23">
                  <c:v>175.76331496786057</c:v>
                </c:pt>
                <c:pt idx="24">
                  <c:v>165.57634083044999</c:v>
                </c:pt>
                <c:pt idx="25">
                  <c:v>156.25000000000017</c:v>
                </c:pt>
                <c:pt idx="26">
                  <c:v>147.69000771604954</c:v>
                </c:pt>
                <c:pt idx="27">
                  <c:v>139.81464572680807</c:v>
                </c:pt>
                <c:pt idx="28">
                  <c:v>132.55280470914144</c:v>
                </c:pt>
                <c:pt idx="29">
                  <c:v>125.84237343852746</c:v>
                </c:pt>
                <c:pt idx="30">
                  <c:v>119.62890625000011</c:v>
                </c:pt>
                <c:pt idx="31">
                  <c:v>113.86451516954203</c:v>
                </c:pt>
                <c:pt idx="32">
                  <c:v>108.50694444444454</c:v>
                </c:pt>
                <c:pt idx="33">
                  <c:v>103.51879394267178</c:v>
                </c:pt>
                <c:pt idx="34">
                  <c:v>98.866864669421531</c:v>
                </c:pt>
                <c:pt idx="35">
                  <c:v>94.521604938271665</c:v>
                </c:pt>
              </c:numCache>
            </c:numRef>
          </c:yVal>
          <c:smooth val="1"/>
          <c:extLst>
            <c:ext xmlns:c16="http://schemas.microsoft.com/office/drawing/2014/chart" uri="{C3380CC4-5D6E-409C-BE32-E72D297353CC}">
              <c16:uniqueId val="{00000000-0B56-47DA-AE60-D6EE2BB97608}"/>
            </c:ext>
          </c:extLst>
        </c:ser>
        <c:dLbls>
          <c:showLegendKey val="0"/>
          <c:showVal val="0"/>
          <c:showCatName val="0"/>
          <c:showSerName val="0"/>
          <c:showPercent val="0"/>
          <c:showBubbleSize val="0"/>
        </c:dLbls>
        <c:axId val="1477766176"/>
        <c:axId val="1"/>
      </c:scatterChart>
      <c:valAx>
        <c:axId val="1477766176"/>
        <c:scaling>
          <c:orientation val="minMax"/>
          <c:max val="100"/>
          <c:min val="0"/>
        </c:scaling>
        <c:delete val="0"/>
        <c:axPos val="b"/>
        <c:title>
          <c:tx>
            <c:rich>
              <a:bodyPr/>
              <a:lstStyle/>
              <a:p>
                <a:pPr>
                  <a:defRPr sz="800" b="0" i="0" u="none" strike="noStrike" baseline="0">
                    <a:solidFill>
                      <a:srgbClr val="000000"/>
                    </a:solidFill>
                    <a:latin typeface="Arial"/>
                    <a:ea typeface="Arial"/>
                    <a:cs typeface="Arial"/>
                  </a:defRPr>
                </a:pPr>
                <a:r>
                  <a:rPr lang="en-US"/>
                  <a:t>Number of </a:t>
                </a:r>
                <a:r>
                  <a:rPr lang="en-US" b="1" u="sng"/>
                  <a:t>*BAR Measurements</a:t>
                </a:r>
              </a:p>
            </c:rich>
          </c:tx>
          <c:layout>
            <c:manualLayout>
              <c:xMode val="edge"/>
              <c:yMode val="edge"/>
              <c:x val="0.3702123956608428"/>
              <c:y val="0.92372676492361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10"/>
        <c:minorUnit val="2"/>
      </c:valAx>
      <c:valAx>
        <c:axId val="1"/>
        <c:scaling>
          <c:orientation val="minMax"/>
          <c:max val="1000"/>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Number of </a:t>
                </a:r>
                <a:r>
                  <a:rPr lang="en-US" b="1" u="sng"/>
                  <a:t>Tree Count plots</a:t>
                </a:r>
              </a:p>
            </c:rich>
          </c:tx>
          <c:layout>
            <c:manualLayout>
              <c:xMode val="edge"/>
              <c:yMode val="edge"/>
              <c:x val="2.0592071913757563E-2"/>
              <c:y val="0.35534073625412205"/>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477766176"/>
        <c:crossesAt val="0"/>
        <c:crossBetween val="midCat"/>
      </c:valAx>
      <c:spPr>
        <a:solidFill>
          <a:srgbClr val="FFFFFF"/>
        </a:solid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7</xdr:col>
      <xdr:colOff>169752</xdr:colOff>
      <xdr:row>36</xdr:row>
      <xdr:rowOff>194902</xdr:rowOff>
    </xdr:from>
    <xdr:to>
      <xdr:col>8</xdr:col>
      <xdr:colOff>201189</xdr:colOff>
      <xdr:row>40</xdr:row>
      <xdr:rowOff>12575</xdr:rowOff>
    </xdr:to>
    <xdr:sp macro="" textlink="">
      <xdr:nvSpPr>
        <xdr:cNvPr id="11554" name="Line 567">
          <a:extLst>
            <a:ext uri="{FF2B5EF4-FFF2-40B4-BE49-F238E27FC236}">
              <a16:creationId xmlns:a16="http://schemas.microsoft.com/office/drawing/2014/main" id="{00000000-0008-0000-0000-0000222D0000}"/>
            </a:ext>
          </a:extLst>
        </xdr:cNvPr>
        <xdr:cNvSpPr>
          <a:spLocks noChangeShapeType="1"/>
        </xdr:cNvSpPr>
      </xdr:nvSpPr>
      <xdr:spPr bwMode="auto">
        <a:xfrm flipH="1">
          <a:off x="5086287" y="6670645"/>
          <a:ext cx="804753" cy="515544"/>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4</xdr:col>
      <xdr:colOff>63500</xdr:colOff>
      <xdr:row>8</xdr:row>
      <xdr:rowOff>165100</xdr:rowOff>
    </xdr:from>
    <xdr:to>
      <xdr:col>4</xdr:col>
      <xdr:colOff>374650</xdr:colOff>
      <xdr:row>9</xdr:row>
      <xdr:rowOff>133350</xdr:rowOff>
    </xdr:to>
    <xdr:sp macro="" textlink="">
      <xdr:nvSpPr>
        <xdr:cNvPr id="11564" name="Line 1011">
          <a:extLst>
            <a:ext uri="{FF2B5EF4-FFF2-40B4-BE49-F238E27FC236}">
              <a16:creationId xmlns:a16="http://schemas.microsoft.com/office/drawing/2014/main" id="{00000000-0008-0000-0000-00002C2D0000}"/>
            </a:ext>
          </a:extLst>
        </xdr:cNvPr>
        <xdr:cNvSpPr>
          <a:spLocks noChangeShapeType="1"/>
        </xdr:cNvSpPr>
      </xdr:nvSpPr>
      <xdr:spPr bwMode="auto">
        <a:xfrm>
          <a:off x="2647950" y="1511300"/>
          <a:ext cx="311150" cy="139700"/>
        </a:xfrm>
        <a:prstGeom prst="line">
          <a:avLst/>
        </a:prstGeom>
        <a:noFill/>
        <a:ln w="9525">
          <a:solidFill>
            <a:srgbClr val="000000"/>
          </a:solidFill>
          <a:round/>
          <a:headEnd type="triangle" w="sm" len="me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584200</xdr:colOff>
      <xdr:row>20</xdr:row>
      <xdr:rowOff>76200</xdr:rowOff>
    </xdr:from>
    <xdr:to>
      <xdr:col>6</xdr:col>
      <xdr:colOff>558800</xdr:colOff>
      <xdr:row>20</xdr:row>
      <xdr:rowOff>76200</xdr:rowOff>
    </xdr:to>
    <xdr:sp macro="" textlink="">
      <xdr:nvSpPr>
        <xdr:cNvPr id="11565" name="Line 1014">
          <a:extLst>
            <a:ext uri="{FF2B5EF4-FFF2-40B4-BE49-F238E27FC236}">
              <a16:creationId xmlns:a16="http://schemas.microsoft.com/office/drawing/2014/main" id="{00000000-0008-0000-0000-00002D2D0000}"/>
            </a:ext>
          </a:extLst>
        </xdr:cNvPr>
        <xdr:cNvSpPr>
          <a:spLocks noChangeShapeType="1"/>
        </xdr:cNvSpPr>
      </xdr:nvSpPr>
      <xdr:spPr bwMode="auto">
        <a:xfrm flipH="1">
          <a:off x="3975100" y="3448050"/>
          <a:ext cx="704850" cy="0"/>
        </a:xfrm>
        <a:prstGeom prst="line">
          <a:avLst/>
        </a:prstGeom>
        <a:noFill/>
        <a:ln w="9525">
          <a:solidFill>
            <a:srgbClr val="FFFF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304800</xdr:colOff>
      <xdr:row>8</xdr:row>
      <xdr:rowOff>139700</xdr:rowOff>
    </xdr:from>
    <xdr:to>
      <xdr:col>2</xdr:col>
      <xdr:colOff>596900</xdr:colOff>
      <xdr:row>9</xdr:row>
      <xdr:rowOff>127000</xdr:rowOff>
    </xdr:to>
    <xdr:sp macro="" textlink="">
      <xdr:nvSpPr>
        <xdr:cNvPr id="11566" name="Line 1076">
          <a:extLst>
            <a:ext uri="{FF2B5EF4-FFF2-40B4-BE49-F238E27FC236}">
              <a16:creationId xmlns:a16="http://schemas.microsoft.com/office/drawing/2014/main" id="{00000000-0008-0000-0000-00002E2D0000}"/>
            </a:ext>
          </a:extLst>
        </xdr:cNvPr>
        <xdr:cNvSpPr>
          <a:spLocks noChangeShapeType="1"/>
        </xdr:cNvSpPr>
      </xdr:nvSpPr>
      <xdr:spPr bwMode="auto">
        <a:xfrm flipV="1">
          <a:off x="1454150" y="1485900"/>
          <a:ext cx="292100" cy="158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42</xdr:row>
      <xdr:rowOff>139700</xdr:rowOff>
    </xdr:from>
    <xdr:to>
      <xdr:col>7</xdr:col>
      <xdr:colOff>107950</xdr:colOff>
      <xdr:row>43</xdr:row>
      <xdr:rowOff>165100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flipH="1">
          <a:off x="4832350" y="7270750"/>
          <a:ext cx="203200" cy="20320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5</xdr:col>
      <xdr:colOff>425450</xdr:colOff>
      <xdr:row>61</xdr:row>
      <xdr:rowOff>114300</xdr:rowOff>
    </xdr:from>
    <xdr:to>
      <xdr:col>7</xdr:col>
      <xdr:colOff>119455</xdr:colOff>
      <xdr:row>64</xdr:row>
      <xdr:rowOff>6287</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bwMode="auto">
        <a:xfrm>
          <a:off x="3845648" y="10972171"/>
          <a:ext cx="1190342" cy="432680"/>
        </a:xfrm>
        <a:prstGeom prst="straightConnector1">
          <a:avLst/>
        </a:prstGeom>
        <a:noFill/>
        <a:ln w="9525">
          <a:solidFill>
            <a:srgbClr val="FF0000"/>
          </a:solidFill>
          <a:round/>
          <a:headEnd/>
          <a:tailEnd type="oval" w="med" len="med"/>
        </a:ln>
        <a:extLst>
          <a:ext uri="{909E8E84-426E-40DD-AFC4-6F175D3DCCD1}">
            <a14:hiddenFill xmlns:a14="http://schemas.microsoft.com/office/drawing/2010/main">
              <a:noFill/>
            </a14:hiddenFill>
          </a:ext>
        </a:extLst>
      </xdr:spPr>
    </xdr:cxnSp>
    <xdr:clientData/>
  </xdr:twoCellAnchor>
  <xdr:twoCellAnchor>
    <xdr:from>
      <xdr:col>5</xdr:col>
      <xdr:colOff>228600</xdr:colOff>
      <xdr:row>68</xdr:row>
      <xdr:rowOff>127000</xdr:rowOff>
    </xdr:from>
    <xdr:to>
      <xdr:col>7</xdr:col>
      <xdr:colOff>114300</xdr:colOff>
      <xdr:row>71</xdr:row>
      <xdr:rowOff>114300</xdr:rowOff>
    </xdr:to>
    <xdr:sp macro="" textlink="">
      <xdr:nvSpPr>
        <xdr:cNvPr id="13" name="Line 511">
          <a:extLst>
            <a:ext uri="{FF2B5EF4-FFF2-40B4-BE49-F238E27FC236}">
              <a16:creationId xmlns:a16="http://schemas.microsoft.com/office/drawing/2014/main" id="{00000000-0008-0000-0000-00000D000000}"/>
            </a:ext>
          </a:extLst>
        </xdr:cNvPr>
        <xdr:cNvSpPr>
          <a:spLocks noChangeShapeType="1"/>
        </xdr:cNvSpPr>
      </xdr:nvSpPr>
      <xdr:spPr bwMode="auto">
        <a:xfrm>
          <a:off x="3657600" y="11696700"/>
          <a:ext cx="1384300" cy="495300"/>
        </a:xfrm>
        <a:prstGeom prst="line">
          <a:avLst/>
        </a:prstGeom>
        <a:noFill/>
        <a:ln w="9525">
          <a:solidFill>
            <a:srgbClr val="FF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5</xdr:col>
      <xdr:colOff>425450</xdr:colOff>
      <xdr:row>61</xdr:row>
      <xdr:rowOff>106881</xdr:rowOff>
    </xdr:from>
    <xdr:to>
      <xdr:col>7</xdr:col>
      <xdr:colOff>18861</xdr:colOff>
      <xdr:row>61</xdr:row>
      <xdr:rowOff>107950</xdr:rowOff>
    </xdr:to>
    <xdr:cxnSp macro="">
      <xdr:nvCxnSpPr>
        <xdr:cNvPr id="15" name="Straight Arrow Connector 14">
          <a:extLst>
            <a:ext uri="{FF2B5EF4-FFF2-40B4-BE49-F238E27FC236}">
              <a16:creationId xmlns:a16="http://schemas.microsoft.com/office/drawing/2014/main" id="{00000000-0008-0000-0000-00000F000000}"/>
            </a:ext>
          </a:extLst>
        </xdr:cNvPr>
        <xdr:cNvCxnSpPr/>
      </xdr:nvCxnSpPr>
      <xdr:spPr bwMode="auto">
        <a:xfrm flipV="1">
          <a:off x="3845648" y="10964752"/>
          <a:ext cx="1089748" cy="10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228600</xdr:colOff>
      <xdr:row>68</xdr:row>
      <xdr:rowOff>120650</xdr:rowOff>
    </xdr:from>
    <xdr:to>
      <xdr:col>6</xdr:col>
      <xdr:colOff>622300</xdr:colOff>
      <xdr:row>68</xdr:row>
      <xdr:rowOff>139700</xdr:rowOff>
    </xdr:to>
    <xdr:cxnSp macro="">
      <xdr:nvCxnSpPr>
        <xdr:cNvPr id="17" name="Straight Arrow Connector 16">
          <a:extLst>
            <a:ext uri="{FF2B5EF4-FFF2-40B4-BE49-F238E27FC236}">
              <a16:creationId xmlns:a16="http://schemas.microsoft.com/office/drawing/2014/main" id="{00000000-0008-0000-0000-000011000000}"/>
            </a:ext>
          </a:extLst>
        </xdr:cNvPr>
        <xdr:cNvCxnSpPr/>
      </xdr:nvCxnSpPr>
      <xdr:spPr bwMode="auto">
        <a:xfrm>
          <a:off x="3657600" y="11709400"/>
          <a:ext cx="1123950" cy="190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742950</xdr:colOff>
      <xdr:row>29</xdr:row>
      <xdr:rowOff>82550</xdr:rowOff>
    </xdr:from>
    <xdr:to>
      <xdr:col>5</xdr:col>
      <xdr:colOff>234950</xdr:colOff>
      <xdr:row>30</xdr:row>
      <xdr:rowOff>107950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a:off x="3365500" y="5302250"/>
          <a:ext cx="298450" cy="2286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666750</xdr:colOff>
      <xdr:row>31</xdr:row>
      <xdr:rowOff>0</xdr:rowOff>
    </xdr:from>
    <xdr:to>
      <xdr:col>4</xdr:col>
      <xdr:colOff>0</xdr:colOff>
      <xdr:row>31</xdr:row>
      <xdr:rowOff>88900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bwMode="auto">
        <a:xfrm flipV="1">
          <a:off x="1854200" y="5264150"/>
          <a:ext cx="768350" cy="88900"/>
        </a:xfrm>
        <a:prstGeom prst="straightConnector1">
          <a:avLst/>
        </a:prstGeom>
        <a:solidFill>
          <a:srgbClr val="FFFFFF"/>
        </a:solidFill>
        <a:ln w="9525" cap="flat" cmpd="sng" algn="ctr">
          <a:solidFill>
            <a:srgbClr val="000000"/>
          </a:solidFill>
          <a:prstDash val="solid"/>
          <a:round/>
          <a:headEnd type="triangle" w="med" len="med"/>
          <a:tailEnd type="triangle"/>
        </a:ln>
        <a:effectLst/>
      </xdr:spPr>
    </xdr:cxnSp>
    <xdr:clientData/>
  </xdr:twoCellAnchor>
  <mc:AlternateContent xmlns:mc="http://schemas.openxmlformats.org/markup-compatibility/2006">
    <mc:Choice xmlns:a14="http://schemas.microsoft.com/office/drawing/2010/main" Requires="a14">
      <xdr:twoCellAnchor editAs="oneCell">
        <xdr:from>
          <xdr:col>11</xdr:col>
          <xdr:colOff>476250</xdr:colOff>
          <xdr:row>6</xdr:row>
          <xdr:rowOff>69850</xdr:rowOff>
        </xdr:from>
        <xdr:to>
          <xdr:col>12</xdr:col>
          <xdr:colOff>596900</xdr:colOff>
          <xdr:row>9</xdr:row>
          <xdr:rowOff>107950</xdr:rowOff>
        </xdr:to>
        <xdr:sp macro="" textlink="">
          <xdr:nvSpPr>
            <xdr:cNvPr id="11648" name="Object 1408" hidden="1">
              <a:extLst>
                <a:ext uri="{63B3BB69-23CF-44E3-9099-C40C66FF867C}">
                  <a14:compatExt spid="_x0000_s11648"/>
                </a:ext>
                <a:ext uri="{FF2B5EF4-FFF2-40B4-BE49-F238E27FC236}">
                  <a16:creationId xmlns:a16="http://schemas.microsoft.com/office/drawing/2014/main" id="{00000000-0008-0000-0000-0000802D0000}"/>
                </a:ext>
              </a:extLst>
            </xdr:cNvPr>
            <xdr:cNvSpPr/>
          </xdr:nvSpPr>
          <xdr:spPr bwMode="auto">
            <a:xfrm>
              <a:off x="0" y="0"/>
              <a:ext cx="0" cy="0"/>
            </a:xfrm>
            <a:prstGeom prst="rect">
              <a:avLst/>
            </a:prstGeom>
            <a:solidFill>
              <a:srgbClr val="00CCFF" mc:Ignorable="a14" a14:legacySpreadsheetColorIndex="40"/>
            </a:solidFill>
            <a:ln w="9525">
              <a:solidFill>
                <a:srgbClr val="000000" mc:Ignorable="a14" a14:legacySpreadsheetColorIndex="64"/>
              </a:solidFill>
              <a:miter lim="800000"/>
              <a:headEnd/>
              <a:tailEnd/>
            </a:ln>
          </xdr:spPr>
        </xdr:sp>
        <xdr:clientData fLocksWithSheet="0"/>
      </xdr:twoCellAnchor>
    </mc:Choice>
    <mc:Fallback/>
  </mc:AlternateContent>
  <xdr:twoCellAnchor>
    <xdr:from>
      <xdr:col>6</xdr:col>
      <xdr:colOff>590550</xdr:colOff>
      <xdr:row>54</xdr:row>
      <xdr:rowOff>95250</xdr:rowOff>
    </xdr:from>
    <xdr:to>
      <xdr:col>7</xdr:col>
      <xdr:colOff>76200</xdr:colOff>
      <xdr:row>55</xdr:row>
      <xdr:rowOff>165100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bwMode="auto">
        <a:xfrm flipH="1">
          <a:off x="4851400" y="9271000"/>
          <a:ext cx="152400" cy="24765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7</xdr:col>
      <xdr:colOff>201187</xdr:colOff>
      <xdr:row>48</xdr:row>
      <xdr:rowOff>182327</xdr:rowOff>
    </xdr:from>
    <xdr:to>
      <xdr:col>8</xdr:col>
      <xdr:colOff>125741</xdr:colOff>
      <xdr:row>52</xdr:row>
      <xdr:rowOff>0</xdr:rowOff>
    </xdr:to>
    <xdr:sp macro="" textlink="">
      <xdr:nvSpPr>
        <xdr:cNvPr id="10" name="Line 567">
          <a:extLst>
            <a:ext uri="{FF2B5EF4-FFF2-40B4-BE49-F238E27FC236}">
              <a16:creationId xmlns:a16="http://schemas.microsoft.com/office/drawing/2014/main" id="{00000000-0008-0000-0000-00000A000000}"/>
            </a:ext>
          </a:extLst>
        </xdr:cNvPr>
        <xdr:cNvSpPr>
          <a:spLocks noChangeShapeType="1"/>
        </xdr:cNvSpPr>
      </xdr:nvSpPr>
      <xdr:spPr bwMode="auto">
        <a:xfrm flipH="1">
          <a:off x="5117722" y="8776832"/>
          <a:ext cx="697870" cy="515544"/>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6</xdr:col>
      <xdr:colOff>635000</xdr:colOff>
      <xdr:row>161</xdr:row>
      <xdr:rowOff>146050</xdr:rowOff>
    </xdr:from>
    <xdr:to>
      <xdr:col>7</xdr:col>
      <xdr:colOff>50800</xdr:colOff>
      <xdr:row>162</xdr:row>
      <xdr:rowOff>114300</xdr:rowOff>
    </xdr:to>
    <xdr:cxnSp macro="">
      <xdr:nvCxnSpPr>
        <xdr:cNvPr id="22" name="Straight Arrow Connector 21">
          <a:extLst>
            <a:ext uri="{FF2B5EF4-FFF2-40B4-BE49-F238E27FC236}">
              <a16:creationId xmlns:a16="http://schemas.microsoft.com/office/drawing/2014/main" id="{00000000-0008-0000-0000-000016000000}"/>
            </a:ext>
          </a:extLst>
        </xdr:cNvPr>
        <xdr:cNvCxnSpPr/>
      </xdr:nvCxnSpPr>
      <xdr:spPr bwMode="auto">
        <a:xfrm flipH="1">
          <a:off x="4895850" y="9321800"/>
          <a:ext cx="82550" cy="14605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7</xdr:col>
      <xdr:colOff>209550</xdr:colOff>
      <xdr:row>155</xdr:row>
      <xdr:rowOff>101600</xdr:rowOff>
    </xdr:from>
    <xdr:to>
      <xdr:col>8</xdr:col>
      <xdr:colOff>107950</xdr:colOff>
      <xdr:row>159</xdr:row>
      <xdr:rowOff>6350</xdr:rowOff>
    </xdr:to>
    <xdr:sp macro="" textlink="">
      <xdr:nvSpPr>
        <xdr:cNvPr id="23" name="Line 567">
          <a:extLst>
            <a:ext uri="{FF2B5EF4-FFF2-40B4-BE49-F238E27FC236}">
              <a16:creationId xmlns:a16="http://schemas.microsoft.com/office/drawing/2014/main" id="{00000000-0008-0000-0000-000017000000}"/>
            </a:ext>
          </a:extLst>
        </xdr:cNvPr>
        <xdr:cNvSpPr>
          <a:spLocks noChangeShapeType="1"/>
        </xdr:cNvSpPr>
      </xdr:nvSpPr>
      <xdr:spPr bwMode="auto">
        <a:xfrm flipH="1">
          <a:off x="5137150" y="8267700"/>
          <a:ext cx="673100" cy="577850"/>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6</xdr:col>
      <xdr:colOff>635000</xdr:colOff>
      <xdr:row>161</xdr:row>
      <xdr:rowOff>146050</xdr:rowOff>
    </xdr:from>
    <xdr:to>
      <xdr:col>7</xdr:col>
      <xdr:colOff>50800</xdr:colOff>
      <xdr:row>162</xdr:row>
      <xdr:rowOff>114300</xdr:rowOff>
    </xdr:to>
    <xdr:cxnSp macro="">
      <xdr:nvCxnSpPr>
        <xdr:cNvPr id="26" name="Straight Arrow Connector 25">
          <a:extLst>
            <a:ext uri="{FF2B5EF4-FFF2-40B4-BE49-F238E27FC236}">
              <a16:creationId xmlns:a16="http://schemas.microsoft.com/office/drawing/2014/main" id="{00000000-0008-0000-0000-00001A000000}"/>
            </a:ext>
          </a:extLst>
        </xdr:cNvPr>
        <xdr:cNvCxnSpPr/>
      </xdr:nvCxnSpPr>
      <xdr:spPr bwMode="auto">
        <a:xfrm flipH="1">
          <a:off x="4895850" y="9321800"/>
          <a:ext cx="82550" cy="14605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7</xdr:col>
      <xdr:colOff>209550</xdr:colOff>
      <xdr:row>155</xdr:row>
      <xdr:rowOff>101600</xdr:rowOff>
    </xdr:from>
    <xdr:to>
      <xdr:col>8</xdr:col>
      <xdr:colOff>107950</xdr:colOff>
      <xdr:row>159</xdr:row>
      <xdr:rowOff>6350</xdr:rowOff>
    </xdr:to>
    <xdr:sp macro="" textlink="">
      <xdr:nvSpPr>
        <xdr:cNvPr id="27" name="Line 567">
          <a:extLst>
            <a:ext uri="{FF2B5EF4-FFF2-40B4-BE49-F238E27FC236}">
              <a16:creationId xmlns:a16="http://schemas.microsoft.com/office/drawing/2014/main" id="{00000000-0008-0000-0000-00001B000000}"/>
            </a:ext>
          </a:extLst>
        </xdr:cNvPr>
        <xdr:cNvSpPr>
          <a:spLocks noChangeShapeType="1"/>
        </xdr:cNvSpPr>
      </xdr:nvSpPr>
      <xdr:spPr bwMode="auto">
        <a:xfrm flipH="1">
          <a:off x="5137150" y="8267700"/>
          <a:ext cx="673100" cy="577850"/>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5</xdr:col>
      <xdr:colOff>419100</xdr:colOff>
      <xdr:row>168</xdr:row>
      <xdr:rowOff>101600</xdr:rowOff>
    </xdr:from>
    <xdr:to>
      <xdr:col>6</xdr:col>
      <xdr:colOff>622300</xdr:colOff>
      <xdr:row>170</xdr:row>
      <xdr:rowOff>120650</xdr:rowOff>
    </xdr:to>
    <xdr:cxnSp macro="">
      <xdr:nvCxnSpPr>
        <xdr:cNvPr id="34" name="Straight Arrow Connector 33">
          <a:extLst>
            <a:ext uri="{FF2B5EF4-FFF2-40B4-BE49-F238E27FC236}">
              <a16:creationId xmlns:a16="http://schemas.microsoft.com/office/drawing/2014/main" id="{00000000-0008-0000-0000-000022000000}"/>
            </a:ext>
          </a:extLst>
        </xdr:cNvPr>
        <xdr:cNvCxnSpPr/>
      </xdr:nvCxnSpPr>
      <xdr:spPr bwMode="auto">
        <a:xfrm>
          <a:off x="3848100" y="28301950"/>
          <a:ext cx="1035050" cy="3619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406400</xdr:colOff>
      <xdr:row>168</xdr:row>
      <xdr:rowOff>95250</xdr:rowOff>
    </xdr:from>
    <xdr:to>
      <xdr:col>7</xdr:col>
      <xdr:colOff>19050</xdr:colOff>
      <xdr:row>169</xdr:row>
      <xdr:rowOff>38100</xdr:rowOff>
    </xdr:to>
    <xdr:cxnSp macro="">
      <xdr:nvCxnSpPr>
        <xdr:cNvPr id="36" name="Straight Arrow Connector 35">
          <a:extLst>
            <a:ext uri="{FF2B5EF4-FFF2-40B4-BE49-F238E27FC236}">
              <a16:creationId xmlns:a16="http://schemas.microsoft.com/office/drawing/2014/main" id="{00000000-0008-0000-0000-000024000000}"/>
            </a:ext>
          </a:extLst>
        </xdr:cNvPr>
        <xdr:cNvCxnSpPr/>
      </xdr:nvCxnSpPr>
      <xdr:spPr bwMode="auto">
        <a:xfrm>
          <a:off x="3835400" y="28295600"/>
          <a:ext cx="1111250" cy="1143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273050</xdr:colOff>
      <xdr:row>176</xdr:row>
      <xdr:rowOff>82550</xdr:rowOff>
    </xdr:from>
    <xdr:to>
      <xdr:col>6</xdr:col>
      <xdr:colOff>527050</xdr:colOff>
      <xdr:row>176</xdr:row>
      <xdr:rowOff>158750</xdr:rowOff>
    </xdr:to>
    <xdr:cxnSp macro="">
      <xdr:nvCxnSpPr>
        <xdr:cNvPr id="39" name="Straight Arrow Connector 38">
          <a:extLst>
            <a:ext uri="{FF2B5EF4-FFF2-40B4-BE49-F238E27FC236}">
              <a16:creationId xmlns:a16="http://schemas.microsoft.com/office/drawing/2014/main" id="{00000000-0008-0000-0000-000027000000}"/>
            </a:ext>
          </a:extLst>
        </xdr:cNvPr>
        <xdr:cNvCxnSpPr/>
      </xdr:nvCxnSpPr>
      <xdr:spPr bwMode="auto">
        <a:xfrm>
          <a:off x="3702050" y="29629100"/>
          <a:ext cx="1085850" cy="762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273050</xdr:colOff>
      <xdr:row>176</xdr:row>
      <xdr:rowOff>82550</xdr:rowOff>
    </xdr:from>
    <xdr:to>
      <xdr:col>6</xdr:col>
      <xdr:colOff>628650</xdr:colOff>
      <xdr:row>179</xdr:row>
      <xdr:rowOff>25400</xdr:rowOff>
    </xdr:to>
    <xdr:cxnSp macro="">
      <xdr:nvCxnSpPr>
        <xdr:cNvPr id="41" name="Straight Arrow Connector 40">
          <a:extLst>
            <a:ext uri="{FF2B5EF4-FFF2-40B4-BE49-F238E27FC236}">
              <a16:creationId xmlns:a16="http://schemas.microsoft.com/office/drawing/2014/main" id="{00000000-0008-0000-0000-000029000000}"/>
            </a:ext>
          </a:extLst>
        </xdr:cNvPr>
        <xdr:cNvCxnSpPr/>
      </xdr:nvCxnSpPr>
      <xdr:spPr bwMode="auto">
        <a:xfrm>
          <a:off x="3702050" y="29629100"/>
          <a:ext cx="1187450" cy="4381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228600</xdr:colOff>
      <xdr:row>62</xdr:row>
      <xdr:rowOff>12700</xdr:rowOff>
    </xdr:from>
    <xdr:to>
      <xdr:col>2</xdr:col>
      <xdr:colOff>241300</xdr:colOff>
      <xdr:row>63</xdr:row>
      <xdr:rowOff>6350</xdr:rowOff>
    </xdr:to>
    <xdr:cxnSp macro="">
      <xdr:nvCxnSpPr>
        <xdr:cNvPr id="51" name="Straight Arrow Connector 50">
          <a:extLst>
            <a:ext uri="{FF2B5EF4-FFF2-40B4-BE49-F238E27FC236}">
              <a16:creationId xmlns:a16="http://schemas.microsoft.com/office/drawing/2014/main" id="{00000000-0008-0000-0000-000033000000}"/>
            </a:ext>
          </a:extLst>
        </xdr:cNvPr>
        <xdr:cNvCxnSpPr/>
      </xdr:nvCxnSpPr>
      <xdr:spPr bwMode="auto">
        <a:xfrm>
          <a:off x="1416050" y="10553700"/>
          <a:ext cx="12700" cy="1651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228600</xdr:colOff>
      <xdr:row>169</xdr:row>
      <xdr:rowOff>31750</xdr:rowOff>
    </xdr:from>
    <xdr:to>
      <xdr:col>2</xdr:col>
      <xdr:colOff>234950</xdr:colOff>
      <xdr:row>170</xdr:row>
      <xdr:rowOff>25400</xdr:rowOff>
    </xdr:to>
    <xdr:cxnSp macro="">
      <xdr:nvCxnSpPr>
        <xdr:cNvPr id="54" name="Straight Arrow Connector 53">
          <a:extLst>
            <a:ext uri="{FF2B5EF4-FFF2-40B4-BE49-F238E27FC236}">
              <a16:creationId xmlns:a16="http://schemas.microsoft.com/office/drawing/2014/main" id="{00000000-0008-0000-0000-000036000000}"/>
            </a:ext>
          </a:extLst>
        </xdr:cNvPr>
        <xdr:cNvCxnSpPr/>
      </xdr:nvCxnSpPr>
      <xdr:spPr bwMode="auto">
        <a:xfrm>
          <a:off x="1416050" y="28409900"/>
          <a:ext cx="6350" cy="1651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1022350</xdr:colOff>
      <xdr:row>117</xdr:row>
      <xdr:rowOff>44450</xdr:rowOff>
    </xdr:from>
    <xdr:to>
      <xdr:col>10</xdr:col>
      <xdr:colOff>241300</xdr:colOff>
      <xdr:row>121</xdr:row>
      <xdr:rowOff>139700</xdr:rowOff>
    </xdr:to>
    <xdr:cxnSp macro="">
      <xdr:nvCxnSpPr>
        <xdr:cNvPr id="56" name="Straight Arrow Connector 55">
          <a:extLst>
            <a:ext uri="{FF2B5EF4-FFF2-40B4-BE49-F238E27FC236}">
              <a16:creationId xmlns:a16="http://schemas.microsoft.com/office/drawing/2014/main" id="{00000000-0008-0000-0000-000038000000}"/>
            </a:ext>
          </a:extLst>
        </xdr:cNvPr>
        <xdr:cNvCxnSpPr/>
      </xdr:nvCxnSpPr>
      <xdr:spPr bwMode="auto">
        <a:xfrm flipH="1" flipV="1">
          <a:off x="6724650" y="19704050"/>
          <a:ext cx="889000" cy="7620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691584</xdr:colOff>
      <xdr:row>78</xdr:row>
      <xdr:rowOff>119455</xdr:rowOff>
    </xdr:from>
    <xdr:to>
      <xdr:col>5</xdr:col>
      <xdr:colOff>194901</xdr:colOff>
      <xdr:row>78</xdr:row>
      <xdr:rowOff>119455</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bwMode="auto">
        <a:xfrm>
          <a:off x="3307030" y="13881980"/>
          <a:ext cx="308069" cy="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57150</xdr:rowOff>
    </xdr:from>
    <xdr:to>
      <xdr:col>10</xdr:col>
      <xdr:colOff>666750</xdr:colOff>
      <xdr:row>23</xdr:row>
      <xdr:rowOff>114300</xdr:rowOff>
    </xdr:to>
    <xdr:graphicFrame macro="">
      <xdr:nvGraphicFramePr>
        <xdr:cNvPr id="4201" name="Chart 1">
          <a:extLst>
            <a:ext uri="{FF2B5EF4-FFF2-40B4-BE49-F238E27FC236}">
              <a16:creationId xmlns:a16="http://schemas.microsoft.com/office/drawing/2014/main" id="{00000000-0008-0000-0100-000069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31750</xdr:colOff>
      <xdr:row>27</xdr:row>
      <xdr:rowOff>133350</xdr:rowOff>
    </xdr:from>
    <xdr:to>
      <xdr:col>10</xdr:col>
      <xdr:colOff>723900</xdr:colOff>
      <xdr:row>51</xdr:row>
      <xdr:rowOff>38100</xdr:rowOff>
    </xdr:to>
    <xdr:graphicFrame macro="">
      <xdr:nvGraphicFramePr>
        <xdr:cNvPr id="4202" name="Chart 3">
          <a:extLst>
            <a:ext uri="{FF2B5EF4-FFF2-40B4-BE49-F238E27FC236}">
              <a16:creationId xmlns:a16="http://schemas.microsoft.com/office/drawing/2014/main" id="{00000000-0008-0000-0100-00006A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52</xdr:row>
      <xdr:rowOff>31750</xdr:rowOff>
    </xdr:from>
    <xdr:to>
      <xdr:col>11</xdr:col>
      <xdr:colOff>0</xdr:colOff>
      <xdr:row>75</xdr:row>
      <xdr:rowOff>95250</xdr:rowOff>
    </xdr:to>
    <xdr:graphicFrame macro="">
      <xdr:nvGraphicFramePr>
        <xdr:cNvPr id="4203" name="Chart 4">
          <a:extLst>
            <a:ext uri="{FF2B5EF4-FFF2-40B4-BE49-F238E27FC236}">
              <a16:creationId xmlns:a16="http://schemas.microsoft.com/office/drawing/2014/main" id="{00000000-0008-0000-0100-00006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31750</xdr:colOff>
      <xdr:row>76</xdr:row>
      <xdr:rowOff>76200</xdr:rowOff>
    </xdr:from>
    <xdr:to>
      <xdr:col>10</xdr:col>
      <xdr:colOff>717550</xdr:colOff>
      <xdr:row>99</xdr:row>
      <xdr:rowOff>146050</xdr:rowOff>
    </xdr:to>
    <xdr:graphicFrame macro="">
      <xdr:nvGraphicFramePr>
        <xdr:cNvPr id="4204" name="Chart 5">
          <a:extLst>
            <a:ext uri="{FF2B5EF4-FFF2-40B4-BE49-F238E27FC236}">
              <a16:creationId xmlns:a16="http://schemas.microsoft.com/office/drawing/2014/main" id="{00000000-0008-0000-0100-00006C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101</xdr:row>
      <xdr:rowOff>139700</xdr:rowOff>
    </xdr:from>
    <xdr:to>
      <xdr:col>10</xdr:col>
      <xdr:colOff>666750</xdr:colOff>
      <xdr:row>125</xdr:row>
      <xdr:rowOff>127000</xdr:rowOff>
    </xdr:to>
    <xdr:graphicFrame macro="">
      <xdr:nvGraphicFramePr>
        <xdr:cNvPr id="4205" name="Chart 6">
          <a:extLst>
            <a:ext uri="{FF2B5EF4-FFF2-40B4-BE49-F238E27FC236}">
              <a16:creationId xmlns:a16="http://schemas.microsoft.com/office/drawing/2014/main" id="{00000000-0008-0000-0100-00006D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596900</xdr:colOff>
      <xdr:row>0</xdr:row>
      <xdr:rowOff>38100</xdr:rowOff>
    </xdr:from>
    <xdr:to>
      <xdr:col>22</xdr:col>
      <xdr:colOff>419100</xdr:colOff>
      <xdr:row>23</xdr:row>
      <xdr:rowOff>101600</xdr:rowOff>
    </xdr:to>
    <xdr:graphicFrame macro="">
      <xdr:nvGraphicFramePr>
        <xdr:cNvPr id="4207" name="Chart 19">
          <a:extLst>
            <a:ext uri="{FF2B5EF4-FFF2-40B4-BE49-F238E27FC236}">
              <a16:creationId xmlns:a16="http://schemas.microsoft.com/office/drawing/2014/main" id="{00000000-0008-0000-0100-00006F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139700</xdr:colOff>
      <xdr:row>22</xdr:row>
      <xdr:rowOff>76200</xdr:rowOff>
    </xdr:from>
    <xdr:to>
      <xdr:col>19</xdr:col>
      <xdr:colOff>412750</xdr:colOff>
      <xdr:row>27</xdr:row>
      <xdr:rowOff>69850</xdr:rowOff>
    </xdr:to>
    <xdr:sp macro="" textlink="">
      <xdr:nvSpPr>
        <xdr:cNvPr id="4209" name="Line 23">
          <a:extLst>
            <a:ext uri="{FF2B5EF4-FFF2-40B4-BE49-F238E27FC236}">
              <a16:creationId xmlns:a16="http://schemas.microsoft.com/office/drawing/2014/main" id="{00000000-0008-0000-0100-000071100000}"/>
            </a:ext>
          </a:extLst>
        </xdr:cNvPr>
        <xdr:cNvSpPr>
          <a:spLocks noChangeShapeType="1"/>
        </xdr:cNvSpPr>
      </xdr:nvSpPr>
      <xdr:spPr bwMode="auto">
        <a:xfrm flipV="1">
          <a:off x="11099800" y="3568700"/>
          <a:ext cx="882650" cy="787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169752</xdr:colOff>
      <xdr:row>36</xdr:row>
      <xdr:rowOff>194902</xdr:rowOff>
    </xdr:from>
    <xdr:to>
      <xdr:col>8</xdr:col>
      <xdr:colOff>201189</xdr:colOff>
      <xdr:row>40</xdr:row>
      <xdr:rowOff>12575</xdr:rowOff>
    </xdr:to>
    <xdr:sp macro="" textlink="">
      <xdr:nvSpPr>
        <xdr:cNvPr id="2" name="Line 567">
          <a:extLst>
            <a:ext uri="{FF2B5EF4-FFF2-40B4-BE49-F238E27FC236}">
              <a16:creationId xmlns:a16="http://schemas.microsoft.com/office/drawing/2014/main" id="{00000000-0008-0000-0200-000002000000}"/>
            </a:ext>
          </a:extLst>
        </xdr:cNvPr>
        <xdr:cNvSpPr>
          <a:spLocks noChangeShapeType="1"/>
        </xdr:cNvSpPr>
      </xdr:nvSpPr>
      <xdr:spPr bwMode="auto">
        <a:xfrm flipH="1">
          <a:off x="5097352" y="6735402"/>
          <a:ext cx="806137" cy="522523"/>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4</xdr:col>
      <xdr:colOff>63500</xdr:colOff>
      <xdr:row>8</xdr:row>
      <xdr:rowOff>165100</xdr:rowOff>
    </xdr:from>
    <xdr:to>
      <xdr:col>4</xdr:col>
      <xdr:colOff>374650</xdr:colOff>
      <xdr:row>9</xdr:row>
      <xdr:rowOff>133350</xdr:rowOff>
    </xdr:to>
    <xdr:sp macro="" textlink="">
      <xdr:nvSpPr>
        <xdr:cNvPr id="3" name="Line 1011">
          <a:extLst>
            <a:ext uri="{FF2B5EF4-FFF2-40B4-BE49-F238E27FC236}">
              <a16:creationId xmlns:a16="http://schemas.microsoft.com/office/drawing/2014/main" id="{00000000-0008-0000-0200-000003000000}"/>
            </a:ext>
          </a:extLst>
        </xdr:cNvPr>
        <xdr:cNvSpPr>
          <a:spLocks noChangeShapeType="1"/>
        </xdr:cNvSpPr>
      </xdr:nvSpPr>
      <xdr:spPr bwMode="auto">
        <a:xfrm>
          <a:off x="2686050" y="1606550"/>
          <a:ext cx="311150" cy="171450"/>
        </a:xfrm>
        <a:prstGeom prst="line">
          <a:avLst/>
        </a:prstGeom>
        <a:noFill/>
        <a:ln w="9525">
          <a:solidFill>
            <a:srgbClr val="000000"/>
          </a:solidFill>
          <a:round/>
          <a:headEnd type="triangle" w="sm" len="me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584200</xdr:colOff>
      <xdr:row>20</xdr:row>
      <xdr:rowOff>76200</xdr:rowOff>
    </xdr:from>
    <xdr:to>
      <xdr:col>6</xdr:col>
      <xdr:colOff>558800</xdr:colOff>
      <xdr:row>20</xdr:row>
      <xdr:rowOff>76200</xdr:rowOff>
    </xdr:to>
    <xdr:sp macro="" textlink="">
      <xdr:nvSpPr>
        <xdr:cNvPr id="4" name="Line 1014">
          <a:extLst>
            <a:ext uri="{FF2B5EF4-FFF2-40B4-BE49-F238E27FC236}">
              <a16:creationId xmlns:a16="http://schemas.microsoft.com/office/drawing/2014/main" id="{00000000-0008-0000-0200-000004000000}"/>
            </a:ext>
          </a:extLst>
        </xdr:cNvPr>
        <xdr:cNvSpPr>
          <a:spLocks noChangeShapeType="1"/>
        </xdr:cNvSpPr>
      </xdr:nvSpPr>
      <xdr:spPr bwMode="auto">
        <a:xfrm flipH="1">
          <a:off x="4013200" y="3714750"/>
          <a:ext cx="806450" cy="0"/>
        </a:xfrm>
        <a:prstGeom prst="line">
          <a:avLst/>
        </a:prstGeom>
        <a:noFill/>
        <a:ln w="9525">
          <a:solidFill>
            <a:srgbClr val="FFFF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304800</xdr:colOff>
      <xdr:row>8</xdr:row>
      <xdr:rowOff>139700</xdr:rowOff>
    </xdr:from>
    <xdr:to>
      <xdr:col>2</xdr:col>
      <xdr:colOff>596900</xdr:colOff>
      <xdr:row>9</xdr:row>
      <xdr:rowOff>127000</xdr:rowOff>
    </xdr:to>
    <xdr:sp macro="" textlink="">
      <xdr:nvSpPr>
        <xdr:cNvPr id="5" name="Line 1076">
          <a:extLst>
            <a:ext uri="{FF2B5EF4-FFF2-40B4-BE49-F238E27FC236}">
              <a16:creationId xmlns:a16="http://schemas.microsoft.com/office/drawing/2014/main" id="{00000000-0008-0000-0200-000005000000}"/>
            </a:ext>
          </a:extLst>
        </xdr:cNvPr>
        <xdr:cNvSpPr>
          <a:spLocks noChangeShapeType="1"/>
        </xdr:cNvSpPr>
      </xdr:nvSpPr>
      <xdr:spPr bwMode="auto">
        <a:xfrm flipV="1">
          <a:off x="1492250" y="1581150"/>
          <a:ext cx="29210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42</xdr:row>
      <xdr:rowOff>139700</xdr:rowOff>
    </xdr:from>
    <xdr:to>
      <xdr:col>7</xdr:col>
      <xdr:colOff>107950</xdr:colOff>
      <xdr:row>43</xdr:row>
      <xdr:rowOff>165100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4832350" y="7753350"/>
          <a:ext cx="203200" cy="23495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5</xdr:col>
      <xdr:colOff>425450</xdr:colOff>
      <xdr:row>61</xdr:row>
      <xdr:rowOff>114300</xdr:rowOff>
    </xdr:from>
    <xdr:to>
      <xdr:col>7</xdr:col>
      <xdr:colOff>119455</xdr:colOff>
      <xdr:row>64</xdr:row>
      <xdr:rowOff>6287</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bwMode="auto">
        <a:xfrm>
          <a:off x="3854450" y="11080750"/>
          <a:ext cx="1192605" cy="438087"/>
        </a:xfrm>
        <a:prstGeom prst="straightConnector1">
          <a:avLst/>
        </a:prstGeom>
        <a:noFill/>
        <a:ln w="9525">
          <a:solidFill>
            <a:srgbClr val="FF0000"/>
          </a:solidFill>
          <a:round/>
          <a:headEnd/>
          <a:tailEnd type="oval" w="med" len="med"/>
        </a:ln>
        <a:extLst>
          <a:ext uri="{909E8E84-426E-40DD-AFC4-6F175D3DCCD1}">
            <a14:hiddenFill xmlns:a14="http://schemas.microsoft.com/office/drawing/2010/main">
              <a:noFill/>
            </a14:hiddenFill>
          </a:ext>
        </a:extLst>
      </xdr:spPr>
    </xdr:cxnSp>
    <xdr:clientData/>
  </xdr:twoCellAnchor>
  <xdr:twoCellAnchor>
    <xdr:from>
      <xdr:col>5</xdr:col>
      <xdr:colOff>228600</xdr:colOff>
      <xdr:row>68</xdr:row>
      <xdr:rowOff>127000</xdr:rowOff>
    </xdr:from>
    <xdr:to>
      <xdr:col>7</xdr:col>
      <xdr:colOff>114300</xdr:colOff>
      <xdr:row>71</xdr:row>
      <xdr:rowOff>114300</xdr:rowOff>
    </xdr:to>
    <xdr:sp macro="" textlink="">
      <xdr:nvSpPr>
        <xdr:cNvPr id="8" name="Line 511">
          <a:extLst>
            <a:ext uri="{FF2B5EF4-FFF2-40B4-BE49-F238E27FC236}">
              <a16:creationId xmlns:a16="http://schemas.microsoft.com/office/drawing/2014/main" id="{00000000-0008-0000-0200-000008000000}"/>
            </a:ext>
          </a:extLst>
        </xdr:cNvPr>
        <xdr:cNvSpPr>
          <a:spLocks noChangeShapeType="1"/>
        </xdr:cNvSpPr>
      </xdr:nvSpPr>
      <xdr:spPr bwMode="auto">
        <a:xfrm>
          <a:off x="3657600" y="12319000"/>
          <a:ext cx="1384300" cy="533400"/>
        </a:xfrm>
        <a:prstGeom prst="line">
          <a:avLst/>
        </a:prstGeom>
        <a:noFill/>
        <a:ln w="9525">
          <a:solidFill>
            <a:srgbClr val="FF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5</xdr:col>
      <xdr:colOff>425450</xdr:colOff>
      <xdr:row>61</xdr:row>
      <xdr:rowOff>106881</xdr:rowOff>
    </xdr:from>
    <xdr:to>
      <xdr:col>7</xdr:col>
      <xdr:colOff>18861</xdr:colOff>
      <xdr:row>61</xdr:row>
      <xdr:rowOff>107950</xdr:rowOff>
    </xdr:to>
    <xdr:cxnSp macro="">
      <xdr:nvCxnSpPr>
        <xdr:cNvPr id="9" name="Straight Arrow Connector 8">
          <a:extLst>
            <a:ext uri="{FF2B5EF4-FFF2-40B4-BE49-F238E27FC236}">
              <a16:creationId xmlns:a16="http://schemas.microsoft.com/office/drawing/2014/main" id="{00000000-0008-0000-0200-000009000000}"/>
            </a:ext>
          </a:extLst>
        </xdr:cNvPr>
        <xdr:cNvCxnSpPr/>
      </xdr:nvCxnSpPr>
      <xdr:spPr bwMode="auto">
        <a:xfrm flipV="1">
          <a:off x="3854450" y="11073331"/>
          <a:ext cx="1092011" cy="10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228600</xdr:colOff>
      <xdr:row>68</xdr:row>
      <xdr:rowOff>120650</xdr:rowOff>
    </xdr:from>
    <xdr:to>
      <xdr:col>6</xdr:col>
      <xdr:colOff>622300</xdr:colOff>
      <xdr:row>68</xdr:row>
      <xdr:rowOff>139700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a:off x="3657600" y="12312650"/>
          <a:ext cx="1225550" cy="190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742950</xdr:colOff>
      <xdr:row>29</xdr:row>
      <xdr:rowOff>82550</xdr:rowOff>
    </xdr:from>
    <xdr:to>
      <xdr:col>5</xdr:col>
      <xdr:colOff>234950</xdr:colOff>
      <xdr:row>30</xdr:row>
      <xdr:rowOff>107950</xdr:rowOff>
    </xdr:to>
    <xdr:cxnSp macro="">
      <xdr:nvCxnSpPr>
        <xdr:cNvPr id="11" name="Straight Arrow Connector 10">
          <a:extLst>
            <a:ext uri="{FF2B5EF4-FFF2-40B4-BE49-F238E27FC236}">
              <a16:creationId xmlns:a16="http://schemas.microsoft.com/office/drawing/2014/main" id="{00000000-0008-0000-0200-00000B000000}"/>
            </a:ext>
          </a:extLst>
        </xdr:cNvPr>
        <xdr:cNvCxnSpPr/>
      </xdr:nvCxnSpPr>
      <xdr:spPr bwMode="auto">
        <a:xfrm>
          <a:off x="3365500" y="5346700"/>
          <a:ext cx="298450" cy="2286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666750</xdr:colOff>
      <xdr:row>31</xdr:row>
      <xdr:rowOff>0</xdr:rowOff>
    </xdr:from>
    <xdr:to>
      <xdr:col>4</xdr:col>
      <xdr:colOff>0</xdr:colOff>
      <xdr:row>31</xdr:row>
      <xdr:rowOff>88900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bwMode="auto">
        <a:xfrm flipV="1">
          <a:off x="1854200" y="5670550"/>
          <a:ext cx="768350" cy="88900"/>
        </a:xfrm>
        <a:prstGeom prst="straightConnector1">
          <a:avLst/>
        </a:prstGeom>
        <a:solidFill>
          <a:srgbClr val="FFFFFF"/>
        </a:solidFill>
        <a:ln w="9525" cap="flat" cmpd="sng" algn="ctr">
          <a:solidFill>
            <a:srgbClr val="000000"/>
          </a:solidFill>
          <a:prstDash val="solid"/>
          <a:round/>
          <a:headEnd type="triangle" w="med" len="med"/>
          <a:tailEnd type="triangle"/>
        </a:ln>
        <a:effectLst/>
      </xdr:spPr>
    </xdr:cxnSp>
    <xdr:clientData/>
  </xdr:twoCellAnchor>
  <mc:AlternateContent xmlns:mc="http://schemas.openxmlformats.org/markup-compatibility/2006">
    <mc:Choice xmlns:a14="http://schemas.microsoft.com/office/drawing/2010/main" Requires="a14">
      <xdr:twoCellAnchor editAs="oneCell">
        <xdr:from>
          <xdr:col>11</xdr:col>
          <xdr:colOff>476250</xdr:colOff>
          <xdr:row>6</xdr:row>
          <xdr:rowOff>69850</xdr:rowOff>
        </xdr:from>
        <xdr:to>
          <xdr:col>12</xdr:col>
          <xdr:colOff>596900</xdr:colOff>
          <xdr:row>10</xdr:row>
          <xdr:rowOff>6350</xdr:rowOff>
        </xdr:to>
        <xdr:sp macro="" textlink="">
          <xdr:nvSpPr>
            <xdr:cNvPr id="97134" name="Object 2926" hidden="1">
              <a:extLst>
                <a:ext uri="{63B3BB69-23CF-44E3-9099-C40C66FF867C}">
                  <a14:compatExt spid="_x0000_s97134"/>
                </a:ext>
                <a:ext uri="{FF2B5EF4-FFF2-40B4-BE49-F238E27FC236}">
                  <a16:creationId xmlns:a16="http://schemas.microsoft.com/office/drawing/2014/main" id="{00000000-0008-0000-0200-00006E7B0100}"/>
                </a:ext>
              </a:extLst>
            </xdr:cNvPr>
            <xdr:cNvSpPr/>
          </xdr:nvSpPr>
          <xdr:spPr bwMode="auto">
            <a:xfrm>
              <a:off x="0" y="0"/>
              <a:ext cx="0" cy="0"/>
            </a:xfrm>
            <a:prstGeom prst="rect">
              <a:avLst/>
            </a:prstGeom>
            <a:solidFill>
              <a:srgbClr val="00CCFF" mc:Ignorable="a14" a14:legacySpreadsheetColorIndex="40"/>
            </a:solidFill>
            <a:ln w="9525">
              <a:solidFill>
                <a:srgbClr val="000000" mc:Ignorable="a14" a14:legacySpreadsheetColorIndex="64"/>
              </a:solidFill>
              <a:miter lim="800000"/>
              <a:headEnd/>
              <a:tailEnd/>
            </a:ln>
          </xdr:spPr>
        </xdr:sp>
        <xdr:clientData fLocksWithSheet="0"/>
      </xdr:twoCellAnchor>
    </mc:Choice>
    <mc:Fallback/>
  </mc:AlternateContent>
  <xdr:twoCellAnchor>
    <xdr:from>
      <xdr:col>6</xdr:col>
      <xdr:colOff>590550</xdr:colOff>
      <xdr:row>54</xdr:row>
      <xdr:rowOff>95250</xdr:rowOff>
    </xdr:from>
    <xdr:to>
      <xdr:col>7</xdr:col>
      <xdr:colOff>76200</xdr:colOff>
      <xdr:row>55</xdr:row>
      <xdr:rowOff>165100</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bwMode="auto">
        <a:xfrm flipH="1">
          <a:off x="4851400" y="9848850"/>
          <a:ext cx="152400" cy="26035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7</xdr:col>
      <xdr:colOff>201187</xdr:colOff>
      <xdr:row>48</xdr:row>
      <xdr:rowOff>182327</xdr:rowOff>
    </xdr:from>
    <xdr:to>
      <xdr:col>8</xdr:col>
      <xdr:colOff>125741</xdr:colOff>
      <xdr:row>52</xdr:row>
      <xdr:rowOff>0</xdr:rowOff>
    </xdr:to>
    <xdr:sp macro="" textlink="">
      <xdr:nvSpPr>
        <xdr:cNvPr id="14" name="Line 567">
          <a:extLst>
            <a:ext uri="{FF2B5EF4-FFF2-40B4-BE49-F238E27FC236}">
              <a16:creationId xmlns:a16="http://schemas.microsoft.com/office/drawing/2014/main" id="{00000000-0008-0000-0200-00000E000000}"/>
            </a:ext>
          </a:extLst>
        </xdr:cNvPr>
        <xdr:cNvSpPr>
          <a:spLocks noChangeShapeType="1"/>
        </xdr:cNvSpPr>
      </xdr:nvSpPr>
      <xdr:spPr bwMode="auto">
        <a:xfrm flipH="1">
          <a:off x="5128787" y="8862777"/>
          <a:ext cx="699254" cy="522523"/>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6</xdr:col>
      <xdr:colOff>635000</xdr:colOff>
      <xdr:row>161</xdr:row>
      <xdr:rowOff>146050</xdr:rowOff>
    </xdr:from>
    <xdr:to>
      <xdr:col>7</xdr:col>
      <xdr:colOff>50800</xdr:colOff>
      <xdr:row>162</xdr:row>
      <xdr:rowOff>114300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bwMode="auto">
        <a:xfrm flipH="1">
          <a:off x="4895850" y="28365450"/>
          <a:ext cx="82550" cy="17780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7</xdr:col>
      <xdr:colOff>209550</xdr:colOff>
      <xdr:row>155</xdr:row>
      <xdr:rowOff>101600</xdr:rowOff>
    </xdr:from>
    <xdr:to>
      <xdr:col>8</xdr:col>
      <xdr:colOff>107950</xdr:colOff>
      <xdr:row>159</xdr:row>
      <xdr:rowOff>6350</xdr:rowOff>
    </xdr:to>
    <xdr:sp macro="" textlink="">
      <xdr:nvSpPr>
        <xdr:cNvPr id="16" name="Line 567">
          <a:extLst>
            <a:ext uri="{FF2B5EF4-FFF2-40B4-BE49-F238E27FC236}">
              <a16:creationId xmlns:a16="http://schemas.microsoft.com/office/drawing/2014/main" id="{00000000-0008-0000-0200-000010000000}"/>
            </a:ext>
          </a:extLst>
        </xdr:cNvPr>
        <xdr:cNvSpPr>
          <a:spLocks noChangeShapeType="1"/>
        </xdr:cNvSpPr>
      </xdr:nvSpPr>
      <xdr:spPr bwMode="auto">
        <a:xfrm flipH="1">
          <a:off x="5137150" y="27279600"/>
          <a:ext cx="673100" cy="609600"/>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6</xdr:col>
      <xdr:colOff>635000</xdr:colOff>
      <xdr:row>161</xdr:row>
      <xdr:rowOff>146050</xdr:rowOff>
    </xdr:from>
    <xdr:to>
      <xdr:col>7</xdr:col>
      <xdr:colOff>50800</xdr:colOff>
      <xdr:row>162</xdr:row>
      <xdr:rowOff>114300</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bwMode="auto">
        <a:xfrm flipH="1">
          <a:off x="4895850" y="28365450"/>
          <a:ext cx="82550" cy="177800"/>
        </a:xfrm>
        <a:prstGeom prst="straightConnector1">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cxnSp>
    <xdr:clientData/>
  </xdr:twoCellAnchor>
  <xdr:twoCellAnchor>
    <xdr:from>
      <xdr:col>7</xdr:col>
      <xdr:colOff>209550</xdr:colOff>
      <xdr:row>155</xdr:row>
      <xdr:rowOff>101600</xdr:rowOff>
    </xdr:from>
    <xdr:to>
      <xdr:col>8</xdr:col>
      <xdr:colOff>107950</xdr:colOff>
      <xdr:row>159</xdr:row>
      <xdr:rowOff>6350</xdr:rowOff>
    </xdr:to>
    <xdr:sp macro="" textlink="">
      <xdr:nvSpPr>
        <xdr:cNvPr id="18" name="Line 567">
          <a:extLst>
            <a:ext uri="{FF2B5EF4-FFF2-40B4-BE49-F238E27FC236}">
              <a16:creationId xmlns:a16="http://schemas.microsoft.com/office/drawing/2014/main" id="{00000000-0008-0000-0200-000012000000}"/>
            </a:ext>
          </a:extLst>
        </xdr:cNvPr>
        <xdr:cNvSpPr>
          <a:spLocks noChangeShapeType="1"/>
        </xdr:cNvSpPr>
      </xdr:nvSpPr>
      <xdr:spPr bwMode="auto">
        <a:xfrm flipH="1">
          <a:off x="5137150" y="27279600"/>
          <a:ext cx="673100" cy="609600"/>
        </a:xfrm>
        <a:prstGeom prst="line">
          <a:avLst/>
        </a:prstGeom>
        <a:noFill/>
        <a:ln w="9525">
          <a:solidFill>
            <a:srgbClr val="800000"/>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5</xdr:col>
      <xdr:colOff>419100</xdr:colOff>
      <xdr:row>168</xdr:row>
      <xdr:rowOff>101600</xdr:rowOff>
    </xdr:from>
    <xdr:to>
      <xdr:col>6</xdr:col>
      <xdr:colOff>622300</xdr:colOff>
      <xdr:row>170</xdr:row>
      <xdr:rowOff>120650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bwMode="auto">
        <a:xfrm>
          <a:off x="3848100" y="29540200"/>
          <a:ext cx="1035050" cy="393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406400</xdr:colOff>
      <xdr:row>168</xdr:row>
      <xdr:rowOff>95250</xdr:rowOff>
    </xdr:from>
    <xdr:to>
      <xdr:col>7</xdr:col>
      <xdr:colOff>19050</xdr:colOff>
      <xdr:row>169</xdr:row>
      <xdr:rowOff>38100</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bwMode="auto">
        <a:xfrm>
          <a:off x="3835400" y="29533850"/>
          <a:ext cx="1111250" cy="1460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273050</xdr:colOff>
      <xdr:row>176</xdr:row>
      <xdr:rowOff>82550</xdr:rowOff>
    </xdr:from>
    <xdr:to>
      <xdr:col>6</xdr:col>
      <xdr:colOff>527050</xdr:colOff>
      <xdr:row>176</xdr:row>
      <xdr:rowOff>158750</xdr:rowOff>
    </xdr:to>
    <xdr:cxnSp macro="">
      <xdr:nvCxnSpPr>
        <xdr:cNvPr id="21" name="Straight Arrow Connector 20">
          <a:extLst>
            <a:ext uri="{FF2B5EF4-FFF2-40B4-BE49-F238E27FC236}">
              <a16:creationId xmlns:a16="http://schemas.microsoft.com/office/drawing/2014/main" id="{00000000-0008-0000-0200-000015000000}"/>
            </a:ext>
          </a:extLst>
        </xdr:cNvPr>
        <xdr:cNvCxnSpPr/>
      </xdr:nvCxnSpPr>
      <xdr:spPr bwMode="auto">
        <a:xfrm>
          <a:off x="3702050" y="30911800"/>
          <a:ext cx="1085850" cy="762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273050</xdr:colOff>
      <xdr:row>176</xdr:row>
      <xdr:rowOff>82550</xdr:rowOff>
    </xdr:from>
    <xdr:to>
      <xdr:col>6</xdr:col>
      <xdr:colOff>628650</xdr:colOff>
      <xdr:row>179</xdr:row>
      <xdr:rowOff>25400</xdr:rowOff>
    </xdr:to>
    <xdr:cxnSp macro="">
      <xdr:nvCxnSpPr>
        <xdr:cNvPr id="22" name="Straight Arrow Connector 21">
          <a:extLst>
            <a:ext uri="{FF2B5EF4-FFF2-40B4-BE49-F238E27FC236}">
              <a16:creationId xmlns:a16="http://schemas.microsoft.com/office/drawing/2014/main" id="{00000000-0008-0000-0200-000016000000}"/>
            </a:ext>
          </a:extLst>
        </xdr:cNvPr>
        <xdr:cNvCxnSpPr/>
      </xdr:nvCxnSpPr>
      <xdr:spPr bwMode="auto">
        <a:xfrm>
          <a:off x="3702050" y="30911800"/>
          <a:ext cx="1187450" cy="4889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228600</xdr:colOff>
      <xdr:row>62</xdr:row>
      <xdr:rowOff>12700</xdr:rowOff>
    </xdr:from>
    <xdr:to>
      <xdr:col>2</xdr:col>
      <xdr:colOff>241300</xdr:colOff>
      <xdr:row>63</xdr:row>
      <xdr:rowOff>6350</xdr:rowOff>
    </xdr:to>
    <xdr:cxnSp macro="">
      <xdr:nvCxnSpPr>
        <xdr:cNvPr id="23" name="Straight Arrow Connector 22">
          <a:extLst>
            <a:ext uri="{FF2B5EF4-FFF2-40B4-BE49-F238E27FC236}">
              <a16:creationId xmlns:a16="http://schemas.microsoft.com/office/drawing/2014/main" id="{00000000-0008-0000-0200-000017000000}"/>
            </a:ext>
          </a:extLst>
        </xdr:cNvPr>
        <xdr:cNvCxnSpPr/>
      </xdr:nvCxnSpPr>
      <xdr:spPr bwMode="auto">
        <a:xfrm>
          <a:off x="1416050" y="11176000"/>
          <a:ext cx="12700" cy="1651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228600</xdr:colOff>
      <xdr:row>169</xdr:row>
      <xdr:rowOff>31750</xdr:rowOff>
    </xdr:from>
    <xdr:to>
      <xdr:col>2</xdr:col>
      <xdr:colOff>234950</xdr:colOff>
      <xdr:row>170</xdr:row>
      <xdr:rowOff>25400</xdr:rowOff>
    </xdr:to>
    <xdr:cxnSp macro="">
      <xdr:nvCxnSpPr>
        <xdr:cNvPr id="24" name="Straight Arrow Connector 23">
          <a:extLst>
            <a:ext uri="{FF2B5EF4-FFF2-40B4-BE49-F238E27FC236}">
              <a16:creationId xmlns:a16="http://schemas.microsoft.com/office/drawing/2014/main" id="{00000000-0008-0000-0200-000018000000}"/>
            </a:ext>
          </a:extLst>
        </xdr:cNvPr>
        <xdr:cNvCxnSpPr/>
      </xdr:nvCxnSpPr>
      <xdr:spPr bwMode="auto">
        <a:xfrm>
          <a:off x="1416050" y="29673550"/>
          <a:ext cx="6350" cy="1651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1022350</xdr:colOff>
      <xdr:row>117</xdr:row>
      <xdr:rowOff>44450</xdr:rowOff>
    </xdr:from>
    <xdr:to>
      <xdr:col>10</xdr:col>
      <xdr:colOff>241300</xdr:colOff>
      <xdr:row>121</xdr:row>
      <xdr:rowOff>139700</xdr:rowOff>
    </xdr:to>
    <xdr:cxnSp macro="">
      <xdr:nvCxnSpPr>
        <xdr:cNvPr id="25" name="Straight Arrow Connector 24">
          <a:extLst>
            <a:ext uri="{FF2B5EF4-FFF2-40B4-BE49-F238E27FC236}">
              <a16:creationId xmlns:a16="http://schemas.microsoft.com/office/drawing/2014/main" id="{00000000-0008-0000-0200-000019000000}"/>
            </a:ext>
          </a:extLst>
        </xdr:cNvPr>
        <xdr:cNvCxnSpPr/>
      </xdr:nvCxnSpPr>
      <xdr:spPr bwMode="auto">
        <a:xfrm flipH="1" flipV="1">
          <a:off x="6724650" y="20650200"/>
          <a:ext cx="889000" cy="7937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691584</xdr:colOff>
      <xdr:row>78</xdr:row>
      <xdr:rowOff>119455</xdr:rowOff>
    </xdr:from>
    <xdr:to>
      <xdr:col>5</xdr:col>
      <xdr:colOff>194901</xdr:colOff>
      <xdr:row>78</xdr:row>
      <xdr:rowOff>119455</xdr:rowOff>
    </xdr:to>
    <xdr:cxnSp macro="">
      <xdr:nvCxnSpPr>
        <xdr:cNvPr id="26" name="Straight Arrow Connector 25">
          <a:extLst>
            <a:ext uri="{FF2B5EF4-FFF2-40B4-BE49-F238E27FC236}">
              <a16:creationId xmlns:a16="http://schemas.microsoft.com/office/drawing/2014/main" id="{00000000-0008-0000-0200-00001A000000}"/>
            </a:ext>
          </a:extLst>
        </xdr:cNvPr>
        <xdr:cNvCxnSpPr/>
      </xdr:nvCxnSpPr>
      <xdr:spPr bwMode="auto">
        <a:xfrm>
          <a:off x="3314134" y="14045005"/>
          <a:ext cx="309767" cy="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285750</xdr:colOff>
      <xdr:row>37</xdr:row>
      <xdr:rowOff>95250</xdr:rowOff>
    </xdr:from>
    <xdr:to>
      <xdr:col>4</xdr:col>
      <xdr:colOff>742950</xdr:colOff>
      <xdr:row>37</xdr:row>
      <xdr:rowOff>165100</xdr:rowOff>
    </xdr:to>
    <xdr:sp macro="" textlink="">
      <xdr:nvSpPr>
        <xdr:cNvPr id="95872" name="Line 429">
          <a:extLst>
            <a:ext uri="{FF2B5EF4-FFF2-40B4-BE49-F238E27FC236}">
              <a16:creationId xmlns:a16="http://schemas.microsoft.com/office/drawing/2014/main" id="{00000000-0008-0000-0300-000080760100}"/>
            </a:ext>
          </a:extLst>
        </xdr:cNvPr>
        <xdr:cNvSpPr>
          <a:spLocks noChangeShapeType="1"/>
        </xdr:cNvSpPr>
      </xdr:nvSpPr>
      <xdr:spPr bwMode="auto">
        <a:xfrm flipV="1">
          <a:off x="2870200" y="6400800"/>
          <a:ext cx="457200" cy="69850"/>
        </a:xfrm>
        <a:prstGeom prst="line">
          <a:avLst/>
        </a:prstGeom>
        <a:noFill/>
        <a:ln w="952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717550</xdr:colOff>
      <xdr:row>35</xdr:row>
      <xdr:rowOff>95250</xdr:rowOff>
    </xdr:from>
    <xdr:to>
      <xdr:col>6</xdr:col>
      <xdr:colOff>44450</xdr:colOff>
      <xdr:row>36</xdr:row>
      <xdr:rowOff>133350</xdr:rowOff>
    </xdr:to>
    <xdr:sp macro="" textlink="">
      <xdr:nvSpPr>
        <xdr:cNvPr id="95873" name="Line 430">
          <a:extLst>
            <a:ext uri="{FF2B5EF4-FFF2-40B4-BE49-F238E27FC236}">
              <a16:creationId xmlns:a16="http://schemas.microsoft.com/office/drawing/2014/main" id="{00000000-0008-0000-0300-000081760100}"/>
            </a:ext>
          </a:extLst>
        </xdr:cNvPr>
        <xdr:cNvSpPr>
          <a:spLocks noChangeShapeType="1"/>
        </xdr:cNvSpPr>
      </xdr:nvSpPr>
      <xdr:spPr bwMode="auto">
        <a:xfrm flipH="1">
          <a:off x="2559050" y="6051550"/>
          <a:ext cx="1606550" cy="215900"/>
        </a:xfrm>
        <a:prstGeom prst="line">
          <a:avLst/>
        </a:prstGeom>
        <a:noFill/>
        <a:ln w="952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31750</xdr:colOff>
      <xdr:row>35</xdr:row>
      <xdr:rowOff>95250</xdr:rowOff>
    </xdr:from>
    <xdr:to>
      <xdr:col>6</xdr:col>
      <xdr:colOff>628650</xdr:colOff>
      <xdr:row>35</xdr:row>
      <xdr:rowOff>95250</xdr:rowOff>
    </xdr:to>
    <xdr:sp macro="" textlink="">
      <xdr:nvSpPr>
        <xdr:cNvPr id="95874" name="Line 431">
          <a:extLst>
            <a:ext uri="{FF2B5EF4-FFF2-40B4-BE49-F238E27FC236}">
              <a16:creationId xmlns:a16="http://schemas.microsoft.com/office/drawing/2014/main" id="{00000000-0008-0000-0300-000082760100}"/>
            </a:ext>
          </a:extLst>
        </xdr:cNvPr>
        <xdr:cNvSpPr>
          <a:spLocks noChangeShapeType="1"/>
        </xdr:cNvSpPr>
      </xdr:nvSpPr>
      <xdr:spPr bwMode="auto">
        <a:xfrm flipV="1">
          <a:off x="4152900" y="6051550"/>
          <a:ext cx="596900" cy="0"/>
        </a:xfrm>
        <a:prstGeom prst="line">
          <a:avLst/>
        </a:prstGeom>
        <a:noFill/>
        <a:ln w="9525">
          <a:solidFill>
            <a:srgbClr val="8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717550</xdr:colOff>
      <xdr:row>47</xdr:row>
      <xdr:rowOff>95250</xdr:rowOff>
    </xdr:from>
    <xdr:to>
      <xdr:col>6</xdr:col>
      <xdr:colOff>44450</xdr:colOff>
      <xdr:row>48</xdr:row>
      <xdr:rowOff>133350</xdr:rowOff>
    </xdr:to>
    <xdr:sp macro="" textlink="">
      <xdr:nvSpPr>
        <xdr:cNvPr id="95875" name="Line 508">
          <a:extLst>
            <a:ext uri="{FF2B5EF4-FFF2-40B4-BE49-F238E27FC236}">
              <a16:creationId xmlns:a16="http://schemas.microsoft.com/office/drawing/2014/main" id="{00000000-0008-0000-0300-000083760100}"/>
            </a:ext>
          </a:extLst>
        </xdr:cNvPr>
        <xdr:cNvSpPr>
          <a:spLocks noChangeShapeType="1"/>
        </xdr:cNvSpPr>
      </xdr:nvSpPr>
      <xdr:spPr bwMode="auto">
        <a:xfrm flipH="1">
          <a:off x="2559050" y="8089900"/>
          <a:ext cx="160655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31750</xdr:colOff>
      <xdr:row>47</xdr:row>
      <xdr:rowOff>95250</xdr:rowOff>
    </xdr:from>
    <xdr:to>
      <xdr:col>6</xdr:col>
      <xdr:colOff>628650</xdr:colOff>
      <xdr:row>47</xdr:row>
      <xdr:rowOff>95250</xdr:rowOff>
    </xdr:to>
    <xdr:sp macro="" textlink="">
      <xdr:nvSpPr>
        <xdr:cNvPr id="95876" name="Line 509">
          <a:extLst>
            <a:ext uri="{FF2B5EF4-FFF2-40B4-BE49-F238E27FC236}">
              <a16:creationId xmlns:a16="http://schemas.microsoft.com/office/drawing/2014/main" id="{00000000-0008-0000-0300-000084760100}"/>
            </a:ext>
          </a:extLst>
        </xdr:cNvPr>
        <xdr:cNvSpPr>
          <a:spLocks noChangeShapeType="1"/>
        </xdr:cNvSpPr>
      </xdr:nvSpPr>
      <xdr:spPr bwMode="auto">
        <a:xfrm flipV="1">
          <a:off x="4152900" y="8089900"/>
          <a:ext cx="596900" cy="0"/>
        </a:xfrm>
        <a:prstGeom prst="line">
          <a:avLst/>
        </a:prstGeom>
        <a:noFill/>
        <a:ln w="9525">
          <a:solidFill>
            <a:srgbClr val="0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285750</xdr:colOff>
      <xdr:row>50</xdr:row>
      <xdr:rowOff>158750</xdr:rowOff>
    </xdr:from>
    <xdr:to>
      <xdr:col>6</xdr:col>
      <xdr:colOff>660400</xdr:colOff>
      <xdr:row>51</xdr:row>
      <xdr:rowOff>139700</xdr:rowOff>
    </xdr:to>
    <xdr:sp macro="" textlink="">
      <xdr:nvSpPr>
        <xdr:cNvPr id="95877" name="Line 511">
          <a:extLst>
            <a:ext uri="{FF2B5EF4-FFF2-40B4-BE49-F238E27FC236}">
              <a16:creationId xmlns:a16="http://schemas.microsoft.com/office/drawing/2014/main" id="{00000000-0008-0000-0300-000085760100}"/>
            </a:ext>
          </a:extLst>
        </xdr:cNvPr>
        <xdr:cNvSpPr>
          <a:spLocks noChangeShapeType="1"/>
        </xdr:cNvSpPr>
      </xdr:nvSpPr>
      <xdr:spPr bwMode="auto">
        <a:xfrm>
          <a:off x="4406900" y="8674100"/>
          <a:ext cx="374650" cy="146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38</xdr:row>
      <xdr:rowOff>6350</xdr:rowOff>
    </xdr:from>
    <xdr:to>
      <xdr:col>6</xdr:col>
      <xdr:colOff>698500</xdr:colOff>
      <xdr:row>40</xdr:row>
      <xdr:rowOff>6350</xdr:rowOff>
    </xdr:to>
    <xdr:sp macro="" textlink="">
      <xdr:nvSpPr>
        <xdr:cNvPr id="95878" name="Line 567">
          <a:extLst>
            <a:ext uri="{FF2B5EF4-FFF2-40B4-BE49-F238E27FC236}">
              <a16:creationId xmlns:a16="http://schemas.microsoft.com/office/drawing/2014/main" id="{00000000-0008-0000-0300-000086760100}"/>
            </a:ext>
          </a:extLst>
        </xdr:cNvPr>
        <xdr:cNvSpPr>
          <a:spLocks noChangeShapeType="1"/>
        </xdr:cNvSpPr>
      </xdr:nvSpPr>
      <xdr:spPr bwMode="auto">
        <a:xfrm>
          <a:off x="2838450" y="6483350"/>
          <a:ext cx="1949450" cy="330200"/>
        </a:xfrm>
        <a:prstGeom prst="line">
          <a:avLst/>
        </a:prstGeom>
        <a:noFill/>
        <a:ln w="952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139700</xdr:colOff>
      <xdr:row>50</xdr:row>
      <xdr:rowOff>133350</xdr:rowOff>
    </xdr:from>
    <xdr:to>
      <xdr:col>4</xdr:col>
      <xdr:colOff>774700</xdr:colOff>
      <xdr:row>51</xdr:row>
      <xdr:rowOff>69850</xdr:rowOff>
    </xdr:to>
    <xdr:sp macro="" textlink="">
      <xdr:nvSpPr>
        <xdr:cNvPr id="95879" name="Line 575">
          <a:extLst>
            <a:ext uri="{FF2B5EF4-FFF2-40B4-BE49-F238E27FC236}">
              <a16:creationId xmlns:a16="http://schemas.microsoft.com/office/drawing/2014/main" id="{00000000-0008-0000-0300-000087760100}"/>
            </a:ext>
          </a:extLst>
        </xdr:cNvPr>
        <xdr:cNvSpPr>
          <a:spLocks noChangeShapeType="1"/>
        </xdr:cNvSpPr>
      </xdr:nvSpPr>
      <xdr:spPr bwMode="auto">
        <a:xfrm flipV="1">
          <a:off x="2724150" y="8648700"/>
          <a:ext cx="635000" cy="101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285750</xdr:colOff>
      <xdr:row>143</xdr:row>
      <xdr:rowOff>95250</xdr:rowOff>
    </xdr:from>
    <xdr:to>
      <xdr:col>4</xdr:col>
      <xdr:colOff>742950</xdr:colOff>
      <xdr:row>143</xdr:row>
      <xdr:rowOff>165100</xdr:rowOff>
    </xdr:to>
    <xdr:sp macro="" textlink="">
      <xdr:nvSpPr>
        <xdr:cNvPr id="95880" name="Line 735">
          <a:extLst>
            <a:ext uri="{FF2B5EF4-FFF2-40B4-BE49-F238E27FC236}">
              <a16:creationId xmlns:a16="http://schemas.microsoft.com/office/drawing/2014/main" id="{00000000-0008-0000-0300-000088760100}"/>
            </a:ext>
          </a:extLst>
        </xdr:cNvPr>
        <xdr:cNvSpPr>
          <a:spLocks noChangeShapeType="1"/>
        </xdr:cNvSpPr>
      </xdr:nvSpPr>
      <xdr:spPr bwMode="auto">
        <a:xfrm flipV="1">
          <a:off x="2870200" y="24110950"/>
          <a:ext cx="457200" cy="69850"/>
        </a:xfrm>
        <a:prstGeom prst="line">
          <a:avLst/>
        </a:prstGeom>
        <a:noFill/>
        <a:ln w="952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717550</xdr:colOff>
      <xdr:row>141</xdr:row>
      <xdr:rowOff>95250</xdr:rowOff>
    </xdr:from>
    <xdr:to>
      <xdr:col>6</xdr:col>
      <xdr:colOff>44450</xdr:colOff>
      <xdr:row>142</xdr:row>
      <xdr:rowOff>133350</xdr:rowOff>
    </xdr:to>
    <xdr:sp macro="" textlink="">
      <xdr:nvSpPr>
        <xdr:cNvPr id="95881" name="Line 736">
          <a:extLst>
            <a:ext uri="{FF2B5EF4-FFF2-40B4-BE49-F238E27FC236}">
              <a16:creationId xmlns:a16="http://schemas.microsoft.com/office/drawing/2014/main" id="{00000000-0008-0000-0300-000089760100}"/>
            </a:ext>
          </a:extLst>
        </xdr:cNvPr>
        <xdr:cNvSpPr>
          <a:spLocks noChangeShapeType="1"/>
        </xdr:cNvSpPr>
      </xdr:nvSpPr>
      <xdr:spPr bwMode="auto">
        <a:xfrm flipH="1">
          <a:off x="2559050" y="23761700"/>
          <a:ext cx="1606550" cy="215900"/>
        </a:xfrm>
        <a:prstGeom prst="line">
          <a:avLst/>
        </a:prstGeom>
        <a:noFill/>
        <a:ln w="952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31750</xdr:colOff>
      <xdr:row>141</xdr:row>
      <xdr:rowOff>95250</xdr:rowOff>
    </xdr:from>
    <xdr:to>
      <xdr:col>6</xdr:col>
      <xdr:colOff>628650</xdr:colOff>
      <xdr:row>141</xdr:row>
      <xdr:rowOff>95250</xdr:rowOff>
    </xdr:to>
    <xdr:sp macro="" textlink="">
      <xdr:nvSpPr>
        <xdr:cNvPr id="95882" name="Line 737">
          <a:extLst>
            <a:ext uri="{FF2B5EF4-FFF2-40B4-BE49-F238E27FC236}">
              <a16:creationId xmlns:a16="http://schemas.microsoft.com/office/drawing/2014/main" id="{00000000-0008-0000-0300-00008A760100}"/>
            </a:ext>
          </a:extLst>
        </xdr:cNvPr>
        <xdr:cNvSpPr>
          <a:spLocks noChangeShapeType="1"/>
        </xdr:cNvSpPr>
      </xdr:nvSpPr>
      <xdr:spPr bwMode="auto">
        <a:xfrm flipV="1">
          <a:off x="4152900" y="23761700"/>
          <a:ext cx="596900" cy="0"/>
        </a:xfrm>
        <a:prstGeom prst="line">
          <a:avLst/>
        </a:prstGeom>
        <a:noFill/>
        <a:ln w="9525">
          <a:solidFill>
            <a:srgbClr val="8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717550</xdr:colOff>
      <xdr:row>153</xdr:row>
      <xdr:rowOff>95250</xdr:rowOff>
    </xdr:from>
    <xdr:to>
      <xdr:col>6</xdr:col>
      <xdr:colOff>44450</xdr:colOff>
      <xdr:row>154</xdr:row>
      <xdr:rowOff>133350</xdr:rowOff>
    </xdr:to>
    <xdr:sp macro="" textlink="">
      <xdr:nvSpPr>
        <xdr:cNvPr id="95883" name="Line 738">
          <a:extLst>
            <a:ext uri="{FF2B5EF4-FFF2-40B4-BE49-F238E27FC236}">
              <a16:creationId xmlns:a16="http://schemas.microsoft.com/office/drawing/2014/main" id="{00000000-0008-0000-0300-00008B760100}"/>
            </a:ext>
          </a:extLst>
        </xdr:cNvPr>
        <xdr:cNvSpPr>
          <a:spLocks noChangeShapeType="1"/>
        </xdr:cNvSpPr>
      </xdr:nvSpPr>
      <xdr:spPr bwMode="auto">
        <a:xfrm flipH="1">
          <a:off x="2559050" y="25793700"/>
          <a:ext cx="160655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31750</xdr:colOff>
      <xdr:row>153</xdr:row>
      <xdr:rowOff>95250</xdr:rowOff>
    </xdr:from>
    <xdr:to>
      <xdr:col>6</xdr:col>
      <xdr:colOff>628650</xdr:colOff>
      <xdr:row>153</xdr:row>
      <xdr:rowOff>95250</xdr:rowOff>
    </xdr:to>
    <xdr:sp macro="" textlink="">
      <xdr:nvSpPr>
        <xdr:cNvPr id="95884" name="Line 739">
          <a:extLst>
            <a:ext uri="{FF2B5EF4-FFF2-40B4-BE49-F238E27FC236}">
              <a16:creationId xmlns:a16="http://schemas.microsoft.com/office/drawing/2014/main" id="{00000000-0008-0000-0300-00008C760100}"/>
            </a:ext>
          </a:extLst>
        </xdr:cNvPr>
        <xdr:cNvSpPr>
          <a:spLocks noChangeShapeType="1"/>
        </xdr:cNvSpPr>
      </xdr:nvSpPr>
      <xdr:spPr bwMode="auto">
        <a:xfrm flipV="1">
          <a:off x="4152900" y="25793700"/>
          <a:ext cx="596900" cy="0"/>
        </a:xfrm>
        <a:prstGeom prst="line">
          <a:avLst/>
        </a:prstGeom>
        <a:noFill/>
        <a:ln w="9525">
          <a:solidFill>
            <a:srgbClr val="0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285750</xdr:colOff>
      <xdr:row>156</xdr:row>
      <xdr:rowOff>158750</xdr:rowOff>
    </xdr:from>
    <xdr:to>
      <xdr:col>6</xdr:col>
      <xdr:colOff>660400</xdr:colOff>
      <xdr:row>157</xdr:row>
      <xdr:rowOff>139700</xdr:rowOff>
    </xdr:to>
    <xdr:sp macro="" textlink="">
      <xdr:nvSpPr>
        <xdr:cNvPr id="95885" name="Line 740">
          <a:extLst>
            <a:ext uri="{FF2B5EF4-FFF2-40B4-BE49-F238E27FC236}">
              <a16:creationId xmlns:a16="http://schemas.microsoft.com/office/drawing/2014/main" id="{00000000-0008-0000-0300-00008D760100}"/>
            </a:ext>
          </a:extLst>
        </xdr:cNvPr>
        <xdr:cNvSpPr>
          <a:spLocks noChangeShapeType="1"/>
        </xdr:cNvSpPr>
      </xdr:nvSpPr>
      <xdr:spPr bwMode="auto">
        <a:xfrm>
          <a:off x="4406900" y="26377900"/>
          <a:ext cx="374650" cy="146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144</xdr:row>
      <xdr:rowOff>6350</xdr:rowOff>
    </xdr:from>
    <xdr:to>
      <xdr:col>6</xdr:col>
      <xdr:colOff>698500</xdr:colOff>
      <xdr:row>146</xdr:row>
      <xdr:rowOff>6350</xdr:rowOff>
    </xdr:to>
    <xdr:sp macro="" textlink="">
      <xdr:nvSpPr>
        <xdr:cNvPr id="95886" name="Line 741">
          <a:extLst>
            <a:ext uri="{FF2B5EF4-FFF2-40B4-BE49-F238E27FC236}">
              <a16:creationId xmlns:a16="http://schemas.microsoft.com/office/drawing/2014/main" id="{00000000-0008-0000-0300-00008E760100}"/>
            </a:ext>
          </a:extLst>
        </xdr:cNvPr>
        <xdr:cNvSpPr>
          <a:spLocks noChangeShapeType="1"/>
        </xdr:cNvSpPr>
      </xdr:nvSpPr>
      <xdr:spPr bwMode="auto">
        <a:xfrm>
          <a:off x="2838450" y="24193500"/>
          <a:ext cx="1949450" cy="330200"/>
        </a:xfrm>
        <a:prstGeom prst="line">
          <a:avLst/>
        </a:prstGeom>
        <a:noFill/>
        <a:ln w="952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139700</xdr:colOff>
      <xdr:row>156</xdr:row>
      <xdr:rowOff>133350</xdr:rowOff>
    </xdr:from>
    <xdr:to>
      <xdr:col>4</xdr:col>
      <xdr:colOff>774700</xdr:colOff>
      <xdr:row>157</xdr:row>
      <xdr:rowOff>69850</xdr:rowOff>
    </xdr:to>
    <xdr:sp macro="" textlink="">
      <xdr:nvSpPr>
        <xdr:cNvPr id="95888" name="Line 742">
          <a:extLst>
            <a:ext uri="{FF2B5EF4-FFF2-40B4-BE49-F238E27FC236}">
              <a16:creationId xmlns:a16="http://schemas.microsoft.com/office/drawing/2014/main" id="{00000000-0008-0000-0300-000090760100}"/>
            </a:ext>
          </a:extLst>
        </xdr:cNvPr>
        <xdr:cNvSpPr>
          <a:spLocks noChangeShapeType="1"/>
        </xdr:cNvSpPr>
      </xdr:nvSpPr>
      <xdr:spPr bwMode="auto">
        <a:xfrm flipV="1">
          <a:off x="2724150" y="26352500"/>
          <a:ext cx="635000" cy="101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63500</xdr:colOff>
      <xdr:row>8</xdr:row>
      <xdr:rowOff>165100</xdr:rowOff>
    </xdr:from>
    <xdr:to>
      <xdr:col>4</xdr:col>
      <xdr:colOff>374650</xdr:colOff>
      <xdr:row>9</xdr:row>
      <xdr:rowOff>133350</xdr:rowOff>
    </xdr:to>
    <xdr:sp macro="" textlink="">
      <xdr:nvSpPr>
        <xdr:cNvPr id="95889" name="Line 1011">
          <a:extLst>
            <a:ext uri="{FF2B5EF4-FFF2-40B4-BE49-F238E27FC236}">
              <a16:creationId xmlns:a16="http://schemas.microsoft.com/office/drawing/2014/main" id="{00000000-0008-0000-0300-000091760100}"/>
            </a:ext>
          </a:extLst>
        </xdr:cNvPr>
        <xdr:cNvSpPr>
          <a:spLocks noChangeShapeType="1"/>
        </xdr:cNvSpPr>
      </xdr:nvSpPr>
      <xdr:spPr bwMode="auto">
        <a:xfrm>
          <a:off x="2647950" y="1511300"/>
          <a:ext cx="311150" cy="139700"/>
        </a:xfrm>
        <a:prstGeom prst="line">
          <a:avLst/>
        </a:prstGeom>
        <a:noFill/>
        <a:ln w="9525">
          <a:solidFill>
            <a:srgbClr val="000000"/>
          </a:solidFill>
          <a:round/>
          <a:headEnd type="triangle" w="sm" len="me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584200</xdr:colOff>
      <xdr:row>20</xdr:row>
      <xdr:rowOff>76200</xdr:rowOff>
    </xdr:from>
    <xdr:to>
      <xdr:col>6</xdr:col>
      <xdr:colOff>558800</xdr:colOff>
      <xdr:row>20</xdr:row>
      <xdr:rowOff>76200</xdr:rowOff>
    </xdr:to>
    <xdr:sp macro="" textlink="">
      <xdr:nvSpPr>
        <xdr:cNvPr id="95890" name="Line 1014">
          <a:extLst>
            <a:ext uri="{FF2B5EF4-FFF2-40B4-BE49-F238E27FC236}">
              <a16:creationId xmlns:a16="http://schemas.microsoft.com/office/drawing/2014/main" id="{00000000-0008-0000-0300-000092760100}"/>
            </a:ext>
          </a:extLst>
        </xdr:cNvPr>
        <xdr:cNvSpPr>
          <a:spLocks noChangeShapeType="1"/>
        </xdr:cNvSpPr>
      </xdr:nvSpPr>
      <xdr:spPr bwMode="auto">
        <a:xfrm flipH="1">
          <a:off x="3975100" y="3448050"/>
          <a:ext cx="704850" cy="0"/>
        </a:xfrm>
        <a:prstGeom prst="line">
          <a:avLst/>
        </a:prstGeom>
        <a:noFill/>
        <a:ln w="9525">
          <a:solidFill>
            <a:srgbClr val="FFFF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304800</xdr:colOff>
      <xdr:row>8</xdr:row>
      <xdr:rowOff>139700</xdr:rowOff>
    </xdr:from>
    <xdr:to>
      <xdr:col>2</xdr:col>
      <xdr:colOff>596900</xdr:colOff>
      <xdr:row>9</xdr:row>
      <xdr:rowOff>127000</xdr:rowOff>
    </xdr:to>
    <xdr:sp macro="" textlink="">
      <xdr:nvSpPr>
        <xdr:cNvPr id="95891" name="Line 1076">
          <a:extLst>
            <a:ext uri="{FF2B5EF4-FFF2-40B4-BE49-F238E27FC236}">
              <a16:creationId xmlns:a16="http://schemas.microsoft.com/office/drawing/2014/main" id="{00000000-0008-0000-0300-000093760100}"/>
            </a:ext>
          </a:extLst>
        </xdr:cNvPr>
        <xdr:cNvSpPr>
          <a:spLocks noChangeShapeType="1"/>
        </xdr:cNvSpPr>
      </xdr:nvSpPr>
      <xdr:spPr bwMode="auto">
        <a:xfrm flipV="1">
          <a:off x="1454150" y="1485900"/>
          <a:ext cx="292100" cy="158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425450</xdr:colOff>
          <xdr:row>5</xdr:row>
          <xdr:rowOff>158750</xdr:rowOff>
        </xdr:from>
        <xdr:to>
          <xdr:col>13</xdr:col>
          <xdr:colOff>38100</xdr:colOff>
          <xdr:row>10</xdr:row>
          <xdr:rowOff>44450</xdr:rowOff>
        </xdr:to>
        <xdr:sp macro="" textlink="">
          <xdr:nvSpPr>
            <xdr:cNvPr id="96040" name="Object 1832" hidden="1">
              <a:extLst>
                <a:ext uri="{63B3BB69-23CF-44E3-9099-C40C66FF867C}">
                  <a14:compatExt spid="_x0000_s96040"/>
                </a:ext>
                <a:ext uri="{FF2B5EF4-FFF2-40B4-BE49-F238E27FC236}">
                  <a16:creationId xmlns:a16="http://schemas.microsoft.com/office/drawing/2014/main" id="{00000000-0008-0000-0300-000028770100}"/>
                </a:ext>
              </a:extLst>
            </xdr:cNvPr>
            <xdr:cNvSpPr/>
          </xdr:nvSpPr>
          <xdr:spPr bwMode="auto">
            <a:xfrm>
              <a:off x="0" y="0"/>
              <a:ext cx="0" cy="0"/>
            </a:xfrm>
            <a:prstGeom prst="rect">
              <a:avLst/>
            </a:prstGeom>
            <a:solidFill>
              <a:srgbClr val="00CCFF" mc:Ignorable="a14" a14:legacySpreadsheetColorIndex="40"/>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4.xml"/><Relationship Id="rId5" Type="http://schemas.openxmlformats.org/officeDocument/2006/relationships/image" Target="../media/image2.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AU207"/>
  <sheetViews>
    <sheetView tabSelected="1" zoomScale="101" zoomScaleNormal="101" workbookViewId="0">
      <selection activeCell="M45" sqref="M45"/>
    </sheetView>
  </sheetViews>
  <sheetFormatPr defaultColWidth="10.36328125" defaultRowHeight="12.5" x14ac:dyDescent="0.25"/>
  <cols>
    <col min="1" max="1" width="3.6328125" style="449" customWidth="1"/>
    <col min="2" max="2" width="13.36328125" style="10" customWidth="1"/>
    <col min="3" max="3" width="9.90625" style="10" customWidth="1"/>
    <col min="4" max="4" width="10.6328125" style="10" customWidth="1"/>
    <col min="5" max="5" width="11.54296875" style="10" customWidth="1"/>
    <col min="6" max="6" width="11.90625" style="10" customWidth="1"/>
    <col min="7" max="7" width="9.54296875" style="10" customWidth="1"/>
    <col min="8" max="8" width="11.08984375" style="10" customWidth="1"/>
    <col min="9" max="9" width="15.81640625" style="10" customWidth="1"/>
    <col min="10" max="10" width="8.08984375" style="10" customWidth="1"/>
    <col min="11" max="11" width="11.26953125" style="10" customWidth="1"/>
    <col min="12" max="12" width="7.36328125" style="523" customWidth="1"/>
    <col min="13" max="13" width="9.6328125" style="10" customWidth="1"/>
    <col min="14" max="15" width="10.6328125" style="523" customWidth="1"/>
    <col min="16" max="16" width="9.453125" style="10" customWidth="1"/>
    <col min="17" max="21" width="10.36328125" style="10" customWidth="1"/>
    <col min="22" max="22" width="5.7265625" style="10" customWidth="1"/>
    <col min="23" max="24" width="10.36328125" style="10" customWidth="1"/>
    <col min="25" max="25" width="12.6328125" style="10" customWidth="1"/>
    <col min="26" max="26" width="4.6328125" style="10" customWidth="1"/>
    <col min="27" max="27" width="11.6328125" style="10" customWidth="1"/>
    <col min="28" max="30" width="10.36328125" style="10" customWidth="1"/>
    <col min="31" max="32" width="10.36328125" style="558" customWidth="1"/>
    <col min="33" max="41" width="10.36328125" style="5" customWidth="1"/>
    <col min="42" max="16384" width="10.36328125" style="10"/>
  </cols>
  <sheetData>
    <row r="1" spans="1:47" ht="18" customHeight="1" thickTop="1" thickBot="1" x14ac:dyDescent="0.35">
      <c r="A1" s="468">
        <v>1</v>
      </c>
      <c r="B1" s="1280" t="s">
        <v>291</v>
      </c>
      <c r="C1" s="1281" t="s">
        <v>332</v>
      </c>
      <c r="D1" s="1282"/>
      <c r="E1" s="1282"/>
      <c r="F1" s="1282"/>
      <c r="G1" s="1282"/>
      <c r="H1" s="1282"/>
      <c r="I1" s="1283"/>
      <c r="J1" s="1" t="s">
        <v>14</v>
      </c>
      <c r="K1" s="29"/>
      <c r="L1" s="522"/>
      <c r="M1" s="30" t="s">
        <v>90</v>
      </c>
      <c r="N1" s="600">
        <f>ROUND(C11,0)</f>
        <v>45</v>
      </c>
      <c r="O1" s="535" t="s">
        <v>91</v>
      </c>
      <c r="P1" s="589">
        <v>3</v>
      </c>
      <c r="R1" s="2" t="s">
        <v>15</v>
      </c>
      <c r="S1" s="3"/>
      <c r="T1" s="3" t="s">
        <v>16</v>
      </c>
      <c r="U1" s="590">
        <f>D9</f>
        <v>0.06</v>
      </c>
      <c r="V1" s="3"/>
      <c r="W1" s="3" t="s">
        <v>17</v>
      </c>
      <c r="X1" s="590">
        <v>2.5000000000000001E-3</v>
      </c>
      <c r="Y1" s="3"/>
      <c r="Z1" s="3"/>
      <c r="AA1" s="3"/>
      <c r="AB1" s="3"/>
      <c r="AC1" s="3"/>
      <c r="AD1" s="3"/>
      <c r="AE1" s="557"/>
      <c r="AF1" s="557" t="s">
        <v>3</v>
      </c>
      <c r="AG1" s="32"/>
      <c r="AH1" s="32"/>
      <c r="AI1" s="32"/>
      <c r="AJ1" s="32" t="s">
        <v>18</v>
      </c>
      <c r="AK1" s="32"/>
      <c r="AL1" s="32"/>
      <c r="AM1" s="32"/>
      <c r="AN1" s="32" t="s">
        <v>19</v>
      </c>
      <c r="AO1" s="32" t="s">
        <v>20</v>
      </c>
    </row>
    <row r="2" spans="1:47" ht="16" thickTop="1" x14ac:dyDescent="0.35">
      <c r="B2" s="109"/>
      <c r="C2" s="110" t="s">
        <v>0</v>
      </c>
      <c r="D2" s="54"/>
      <c r="E2" s="909" t="s">
        <v>1</v>
      </c>
      <c r="F2" s="54"/>
      <c r="G2" s="54"/>
      <c r="H2" s="110" t="s">
        <v>2</v>
      </c>
      <c r="I2" s="55"/>
      <c r="J2" s="5" t="s">
        <v>3</v>
      </c>
      <c r="K2" s="31" t="s">
        <v>292</v>
      </c>
      <c r="M2" s="589">
        <v>0</v>
      </c>
      <c r="N2" s="524" t="s">
        <v>83</v>
      </c>
      <c r="O2" s="524"/>
      <c r="P2" s="5"/>
      <c r="R2" s="2" t="s">
        <v>21</v>
      </c>
      <c r="S2" s="6"/>
      <c r="T2" s="6" t="s">
        <v>22</v>
      </c>
      <c r="U2" s="6"/>
      <c r="V2" s="3" t="s">
        <v>3</v>
      </c>
      <c r="W2" s="4" t="s">
        <v>3</v>
      </c>
      <c r="X2" s="4" t="s">
        <v>23</v>
      </c>
      <c r="Y2" s="4"/>
      <c r="Z2" s="3"/>
      <c r="AA2" s="7"/>
      <c r="AB2" s="7" t="s">
        <v>24</v>
      </c>
      <c r="AC2" s="7"/>
      <c r="AD2" s="3"/>
      <c r="AE2" s="557"/>
      <c r="AF2" s="557" t="s">
        <v>25</v>
      </c>
      <c r="AG2" s="32" t="s">
        <v>26</v>
      </c>
      <c r="AH2" s="32" t="s">
        <v>93</v>
      </c>
      <c r="AI2" s="32" t="s">
        <v>20</v>
      </c>
      <c r="AJ2" s="32" t="s">
        <v>27</v>
      </c>
      <c r="AK2" s="32" t="s">
        <v>28</v>
      </c>
      <c r="AL2" s="32" t="s">
        <v>28</v>
      </c>
      <c r="AM2" s="32" t="s">
        <v>29</v>
      </c>
      <c r="AN2" s="32" t="s">
        <v>30</v>
      </c>
      <c r="AO2" s="32" t="s">
        <v>30</v>
      </c>
      <c r="AP2" s="21" t="s">
        <v>3</v>
      </c>
      <c r="AQ2" s="21" t="s">
        <v>3</v>
      </c>
      <c r="AR2" s="21" t="s">
        <v>3</v>
      </c>
      <c r="AS2" s="21" t="s">
        <v>3</v>
      </c>
      <c r="AT2" s="21" t="s">
        <v>3</v>
      </c>
      <c r="AU2" s="21" t="s">
        <v>3</v>
      </c>
    </row>
    <row r="3" spans="1:47" ht="15.5" x14ac:dyDescent="0.35">
      <c r="B3" s="111" t="s">
        <v>205</v>
      </c>
      <c r="C3" s="908">
        <v>0.35</v>
      </c>
      <c r="D3" s="4"/>
      <c r="E3" s="563">
        <v>6</v>
      </c>
      <c r="F3" s="4" t="s">
        <v>4</v>
      </c>
      <c r="G3" s="4"/>
      <c r="H3" s="566">
        <v>20</v>
      </c>
      <c r="I3" s="567" t="s">
        <v>241</v>
      </c>
      <c r="J3" s="5" t="s">
        <v>31</v>
      </c>
      <c r="K3" s="5" t="s">
        <v>9</v>
      </c>
      <c r="L3" s="524" t="s">
        <v>32</v>
      </c>
      <c r="M3" s="34" t="s">
        <v>33</v>
      </c>
      <c r="N3" s="524" t="s">
        <v>28</v>
      </c>
      <c r="O3" s="524"/>
      <c r="P3" s="5" t="s">
        <v>34</v>
      </c>
      <c r="R3" s="3" t="s">
        <v>35</v>
      </c>
      <c r="S3" s="6" t="s">
        <v>36</v>
      </c>
      <c r="T3" s="6" t="s">
        <v>37</v>
      </c>
      <c r="U3" s="6" t="s">
        <v>38</v>
      </c>
      <c r="V3" s="3"/>
      <c r="W3" s="4" t="s">
        <v>36</v>
      </c>
      <c r="X3" s="4" t="s">
        <v>37</v>
      </c>
      <c r="Y3" s="4" t="s">
        <v>38</v>
      </c>
      <c r="Z3" s="3"/>
      <c r="AA3" s="7" t="s">
        <v>36</v>
      </c>
      <c r="AB3" s="7" t="s">
        <v>37</v>
      </c>
      <c r="AC3" s="7" t="s">
        <v>38</v>
      </c>
      <c r="AD3" s="3"/>
      <c r="AE3" s="557" t="s">
        <v>39</v>
      </c>
      <c r="AF3" s="557"/>
      <c r="AG3" s="32" t="s">
        <v>40</v>
      </c>
      <c r="AH3" s="32" t="s">
        <v>40</v>
      </c>
      <c r="AI3" s="32" t="s">
        <v>40</v>
      </c>
      <c r="AJ3" s="32" t="s">
        <v>41</v>
      </c>
      <c r="AK3" s="32" t="s">
        <v>42</v>
      </c>
      <c r="AL3" s="32" t="s">
        <v>43</v>
      </c>
      <c r="AM3" s="32" t="s">
        <v>28</v>
      </c>
      <c r="AN3" s="32" t="s">
        <v>44</v>
      </c>
      <c r="AO3" s="32" t="s">
        <v>44</v>
      </c>
      <c r="AP3" s="22"/>
      <c r="AQ3" s="560" t="s">
        <v>45</v>
      </c>
      <c r="AR3" s="561" t="s">
        <v>263</v>
      </c>
      <c r="AS3" s="560"/>
      <c r="AT3" s="560"/>
      <c r="AU3" s="560"/>
    </row>
    <row r="4" spans="1:47" ht="13" x14ac:dyDescent="0.3">
      <c r="B4" s="112"/>
      <c r="C4" s="4"/>
      <c r="D4" s="4"/>
      <c r="E4" s="4" t="s">
        <v>3</v>
      </c>
      <c r="F4" s="4"/>
      <c r="G4" s="4"/>
      <c r="H4" s="566">
        <v>0</v>
      </c>
      <c r="I4" s="567" t="s">
        <v>242</v>
      </c>
      <c r="J4" s="25">
        <f>C24</f>
        <v>35.879629629629626</v>
      </c>
      <c r="K4" s="898">
        <f>(C3/(SQRT(J4)))</f>
        <v>5.8431100865781203E-2</v>
      </c>
      <c r="L4" s="525">
        <f>C25</f>
        <v>215.27777777777777</v>
      </c>
      <c r="M4" s="49">
        <f>(SQRT((D9*D9)-(K4*K4)))</f>
        <v>1.3631084021929548E-2</v>
      </c>
      <c r="N4" s="525">
        <f>(J4*E$3)+(L4*E$5)+H$6</f>
        <v>665.83333333333326</v>
      </c>
      <c r="O4" s="525">
        <f t="shared" ref="O4:O14" si="0">MAX(0,+O5-P5)</f>
        <v>12</v>
      </c>
      <c r="P4" s="25">
        <f>P1</f>
        <v>3</v>
      </c>
      <c r="Q4" s="10" t="s">
        <v>92</v>
      </c>
      <c r="R4" s="46">
        <f t="shared" ref="R4:R14" si="1">R5-AE5</f>
        <v>3.2499999999999973E-2</v>
      </c>
      <c r="S4" s="3">
        <f t="shared" ref="S4:S27" si="2">(T4*AL4)+(U4*AK4)+AM4</f>
        <v>1250.7448294620476</v>
      </c>
      <c r="T4" s="3">
        <f t="shared" ref="T4:T27" si="3">(AJ4/(AF4*AG4))</f>
        <v>152.65662156669507</v>
      </c>
      <c r="U4" s="3">
        <f t="shared" ref="U4:U27" si="4">(AG4*T4)</f>
        <v>154.23859772144291</v>
      </c>
      <c r="V4" s="3"/>
      <c r="W4" s="3">
        <f t="shared" ref="W4:W27" si="5">(X4*AL4)+(Y4*AK4)+AM4</f>
        <v>1369.112426035505</v>
      </c>
      <c r="X4" s="3">
        <f t="shared" ref="X4:X27" si="6">(AN4/(AF4*AH4))</f>
        <v>269.82248520710101</v>
      </c>
      <c r="Y4" s="3">
        <f t="shared" ref="Y4:Y27" si="7">(X4*AH4)</f>
        <v>134.91124260355051</v>
      </c>
      <c r="Z4" s="3"/>
      <c r="AA4" s="3">
        <f t="shared" ref="AA4:AA27" si="8">(AB4*AL4)+(AC4*AK4)+AM4</f>
        <v>2221.1834319526661</v>
      </c>
      <c r="AB4" s="3">
        <f t="shared" ref="AB4:AB27" si="9">(AO4/(AF4*AI4))</f>
        <v>733.72781065088873</v>
      </c>
      <c r="AC4" s="3">
        <f t="shared" ref="AC4:AC27" si="10">(AB4*AI4)</f>
        <v>122.28796844181478</v>
      </c>
      <c r="AD4" s="3"/>
      <c r="AE4" s="557">
        <f>X1</f>
        <v>2.5000000000000001E-3</v>
      </c>
      <c r="AF4" s="557">
        <f t="shared" ref="AF4:AF27" si="11">(R4*R4)</f>
        <v>1.0562499999999982E-3</v>
      </c>
      <c r="AG4" s="32">
        <f>E7</f>
        <v>1.0103629710818451</v>
      </c>
      <c r="AH4" s="32">
        <f>(C15/C16)</f>
        <v>0.5</v>
      </c>
      <c r="AI4" s="32">
        <f>(1/I23)</f>
        <v>0.16666666666666666</v>
      </c>
      <c r="AJ4" s="32">
        <f>((C3*C3)+(C5*C5*E7))</f>
        <v>0.16291451884327379</v>
      </c>
      <c r="AK4" s="32">
        <f>E3</f>
        <v>6</v>
      </c>
      <c r="AL4" s="32">
        <f>E5</f>
        <v>2</v>
      </c>
      <c r="AM4" s="32">
        <f>H3+H4+H5</f>
        <v>20</v>
      </c>
      <c r="AN4" s="32">
        <f>((C3*C3)+(C5*C5*AH4))</f>
        <v>0.14249999999999999</v>
      </c>
      <c r="AO4" s="32">
        <f>((C3*C3)+(C5*C5*AI4))</f>
        <v>0.12916666666666665</v>
      </c>
      <c r="AP4" s="40" t="s">
        <v>3</v>
      </c>
      <c r="AQ4" s="40" t="s">
        <v>46</v>
      </c>
      <c r="AR4" s="40" t="s">
        <v>47</v>
      </c>
      <c r="AS4" s="40" t="s">
        <v>48</v>
      </c>
      <c r="AT4" s="40" t="s">
        <v>49</v>
      </c>
      <c r="AU4" s="40" t="s">
        <v>50</v>
      </c>
    </row>
    <row r="5" spans="1:47" ht="16" thickBot="1" x14ac:dyDescent="0.4">
      <c r="B5" s="113" t="s">
        <v>204</v>
      </c>
      <c r="C5" s="908">
        <v>0.2</v>
      </c>
      <c r="D5" s="4"/>
      <c r="E5" s="563">
        <v>2</v>
      </c>
      <c r="F5" s="4" t="s">
        <v>5</v>
      </c>
      <c r="G5" s="4"/>
      <c r="H5" s="568">
        <v>0</v>
      </c>
      <c r="I5" s="567" t="s">
        <v>331</v>
      </c>
      <c r="J5" s="25">
        <f>C15</f>
        <v>40</v>
      </c>
      <c r="K5" s="898">
        <f>(C3/(SQRT(J5)))</f>
        <v>5.5339859052946631E-2</v>
      </c>
      <c r="L5" s="525">
        <f>C16</f>
        <v>80</v>
      </c>
      <c r="M5" s="49">
        <f>(SQRT((D9*D9)-(K5*K5)))</f>
        <v>2.3184046238739275E-2</v>
      </c>
      <c r="N5" s="525">
        <f>(J5*E$3)+(L5*E$5)+H$6</f>
        <v>420</v>
      </c>
      <c r="O5" s="525">
        <f t="shared" si="0"/>
        <v>15</v>
      </c>
      <c r="P5" s="25">
        <f t="shared" ref="P5:P24" si="12">P4</f>
        <v>3</v>
      </c>
      <c r="Q5" s="10" t="s">
        <v>93</v>
      </c>
      <c r="R5" s="46">
        <f t="shared" si="1"/>
        <v>3.4999999999999976E-2</v>
      </c>
      <c r="S5" s="3">
        <f t="shared" si="2"/>
        <v>1081.2034498932958</v>
      </c>
      <c r="T5" s="3">
        <f t="shared" si="3"/>
        <v>131.62739308556866</v>
      </c>
      <c r="U5" s="3">
        <f t="shared" si="4"/>
        <v>132.99144395369308</v>
      </c>
      <c r="V5" s="3"/>
      <c r="W5" s="3">
        <f t="shared" si="5"/>
        <v>1183.2653061224505</v>
      </c>
      <c r="X5" s="3">
        <f t="shared" si="6"/>
        <v>232.6530612244901</v>
      </c>
      <c r="Y5" s="3">
        <f t="shared" si="7"/>
        <v>116.32653061224505</v>
      </c>
      <c r="Z5" s="3"/>
      <c r="AA5" s="3">
        <f t="shared" si="8"/>
        <v>1917.9591836734721</v>
      </c>
      <c r="AB5" s="3">
        <f t="shared" si="9"/>
        <v>632.65306122449067</v>
      </c>
      <c r="AC5" s="3">
        <f t="shared" si="10"/>
        <v>105.44217687074844</v>
      </c>
      <c r="AD5" s="3"/>
      <c r="AE5" s="557">
        <f t="shared" ref="AE5:AE27" si="13">AE4</f>
        <v>2.5000000000000001E-3</v>
      </c>
      <c r="AF5" s="557">
        <f t="shared" si="11"/>
        <v>1.2249999999999982E-3</v>
      </c>
      <c r="AG5" s="32">
        <f t="shared" ref="AG5:AO27" si="14">AG4</f>
        <v>1.0103629710818451</v>
      </c>
      <c r="AH5" s="32">
        <f t="shared" si="14"/>
        <v>0.5</v>
      </c>
      <c r="AI5" s="32">
        <f t="shared" si="14"/>
        <v>0.16666666666666666</v>
      </c>
      <c r="AJ5" s="32">
        <f t="shared" si="14"/>
        <v>0.16291451884327379</v>
      </c>
      <c r="AK5" s="32">
        <f t="shared" si="14"/>
        <v>6</v>
      </c>
      <c r="AL5" s="32">
        <f t="shared" si="14"/>
        <v>2</v>
      </c>
      <c r="AM5" s="32">
        <f t="shared" si="14"/>
        <v>20</v>
      </c>
      <c r="AN5" s="32">
        <f t="shared" si="14"/>
        <v>0.14249999999999999</v>
      </c>
      <c r="AO5" s="32">
        <f t="shared" si="14"/>
        <v>0.12916666666666665</v>
      </c>
      <c r="AP5" s="44" t="s">
        <v>121</v>
      </c>
      <c r="AQ5" s="41">
        <v>6.2700000000000006E-2</v>
      </c>
      <c r="AR5" s="41">
        <v>0.12570000000000001</v>
      </c>
      <c r="AS5" s="41">
        <v>0.67449999999999999</v>
      </c>
      <c r="AT5" s="41">
        <v>1.6449</v>
      </c>
      <c r="AU5" s="42">
        <v>1.96</v>
      </c>
    </row>
    <row r="6" spans="1:47" ht="13" thickTop="1" x14ac:dyDescent="0.25">
      <c r="B6" s="112" t="s">
        <v>3</v>
      </c>
      <c r="C6" s="4" t="s">
        <v>3</v>
      </c>
      <c r="D6" s="4" t="s">
        <v>3</v>
      </c>
      <c r="E6" s="4" t="s">
        <v>3</v>
      </c>
      <c r="F6" s="114" t="s">
        <v>3</v>
      </c>
      <c r="G6" s="4" t="s">
        <v>3</v>
      </c>
      <c r="H6" s="115">
        <f>SUM(H3:H5)</f>
        <v>20</v>
      </c>
      <c r="I6" s="116" t="s">
        <v>88</v>
      </c>
      <c r="J6" s="8">
        <f t="shared" ref="J6:J24" si="15">O6</f>
        <v>18</v>
      </c>
      <c r="K6" s="899">
        <f t="shared" ref="K6:K11" si="16">IF(J6&gt;0,(C$3/(SQRT(J6))),"")</f>
        <v>8.2495791138430544E-2</v>
      </c>
      <c r="L6" s="526" t="str">
        <f t="shared" ref="L6:L11" si="17">IF(K6&lt;D$9,(C$5/M6)*(C$5/M6),"")</f>
        <v/>
      </c>
      <c r="M6" s="51" t="str">
        <f t="shared" ref="M6:M11" si="18">IF(K6&lt;D$9,(SQRT((D$9*D$9)-(K6*K6))),"")</f>
        <v/>
      </c>
      <c r="N6" s="530" t="str">
        <f t="shared" ref="N6:N11" si="19">IF(K6&lt;D$9,(J6*E$3)+(L6*E$5)+H$6,"")</f>
        <v/>
      </c>
      <c r="O6" s="530">
        <f t="shared" si="0"/>
        <v>18</v>
      </c>
      <c r="P6" s="8">
        <f t="shared" si="12"/>
        <v>3</v>
      </c>
      <c r="R6" s="46">
        <f t="shared" si="1"/>
        <v>3.7499999999999978E-2</v>
      </c>
      <c r="S6" s="3">
        <f t="shared" si="2"/>
        <v>944.42611635149308</v>
      </c>
      <c r="T6" s="3">
        <f t="shared" si="3"/>
        <v>114.66208464342868</v>
      </c>
      <c r="U6" s="3">
        <f t="shared" si="4"/>
        <v>115.85032451077262</v>
      </c>
      <c r="V6" s="3"/>
      <c r="W6" s="3">
        <f t="shared" si="5"/>
        <v>1033.3333333333344</v>
      </c>
      <c r="X6" s="3">
        <f t="shared" si="6"/>
        <v>202.66666666666688</v>
      </c>
      <c r="Y6" s="3">
        <f t="shared" si="7"/>
        <v>101.33333333333344</v>
      </c>
      <c r="Z6" s="3"/>
      <c r="AA6" s="3">
        <f t="shared" si="8"/>
        <v>1673.3333333333348</v>
      </c>
      <c r="AB6" s="3">
        <f t="shared" si="9"/>
        <v>551.11111111111165</v>
      </c>
      <c r="AC6" s="3">
        <f t="shared" si="10"/>
        <v>91.851851851851933</v>
      </c>
      <c r="AD6" s="3"/>
      <c r="AE6" s="557">
        <f t="shared" si="13"/>
        <v>2.5000000000000001E-3</v>
      </c>
      <c r="AF6" s="557">
        <f t="shared" si="11"/>
        <v>1.4062499999999984E-3</v>
      </c>
      <c r="AG6" s="32">
        <f t="shared" si="14"/>
        <v>1.0103629710818451</v>
      </c>
      <c r="AH6" s="32">
        <f t="shared" si="14"/>
        <v>0.5</v>
      </c>
      <c r="AI6" s="32">
        <f t="shared" si="14"/>
        <v>0.16666666666666666</v>
      </c>
      <c r="AJ6" s="32">
        <f t="shared" si="14"/>
        <v>0.16291451884327379</v>
      </c>
      <c r="AK6" s="32">
        <f t="shared" si="14"/>
        <v>6</v>
      </c>
      <c r="AL6" s="32">
        <f t="shared" si="14"/>
        <v>2</v>
      </c>
      <c r="AM6" s="32">
        <f t="shared" si="14"/>
        <v>20</v>
      </c>
      <c r="AN6" s="32">
        <f t="shared" si="14"/>
        <v>0.14249999999999999</v>
      </c>
      <c r="AO6" s="32">
        <f t="shared" si="14"/>
        <v>0.12916666666666665</v>
      </c>
      <c r="AP6" s="43" t="s">
        <v>120</v>
      </c>
      <c r="AQ6" s="23">
        <v>7.8700000000000006E-2</v>
      </c>
      <c r="AR6" s="23">
        <v>0.15840000000000001</v>
      </c>
      <c r="AS6" s="23">
        <v>1</v>
      </c>
      <c r="AT6" s="23">
        <v>6.3137999999999996</v>
      </c>
      <c r="AU6" s="23">
        <v>12.706200000000001</v>
      </c>
    </row>
    <row r="7" spans="1:47" ht="13" x14ac:dyDescent="0.3">
      <c r="B7" s="57"/>
      <c r="C7" s="4"/>
      <c r="D7" s="58" t="s">
        <v>100</v>
      </c>
      <c r="E7" s="39">
        <f>((C3*SQRT(E5))/(C5*SQRT(E3)))</f>
        <v>1.0103629710818451</v>
      </c>
      <c r="F7" s="4" t="s">
        <v>206</v>
      </c>
      <c r="G7" s="4"/>
      <c r="H7" s="4"/>
      <c r="I7" s="56" t="s">
        <v>3</v>
      </c>
      <c r="J7" s="8">
        <f t="shared" si="15"/>
        <v>21</v>
      </c>
      <c r="K7" s="899">
        <f t="shared" si="16"/>
        <v>7.6376261582597332E-2</v>
      </c>
      <c r="L7" s="526" t="str">
        <f t="shared" si="17"/>
        <v/>
      </c>
      <c r="M7" s="51" t="str">
        <f t="shared" si="18"/>
        <v/>
      </c>
      <c r="N7" s="530" t="str">
        <f t="shared" si="19"/>
        <v/>
      </c>
      <c r="O7" s="526">
        <f t="shared" si="0"/>
        <v>21</v>
      </c>
      <c r="P7" s="8">
        <f t="shared" si="12"/>
        <v>3</v>
      </c>
      <c r="R7" s="46">
        <f t="shared" si="1"/>
        <v>3.999999999999998E-2</v>
      </c>
      <c r="S7" s="3">
        <f t="shared" si="2"/>
        <v>832.48389132455429</v>
      </c>
      <c r="T7" s="3">
        <f t="shared" si="3"/>
        <v>100.77722283113847</v>
      </c>
      <c r="U7" s="3">
        <f t="shared" si="4"/>
        <v>101.82157427704622</v>
      </c>
      <c r="V7" s="3"/>
      <c r="W7" s="3">
        <f t="shared" si="5"/>
        <v>910.6250000000008</v>
      </c>
      <c r="X7" s="3">
        <f t="shared" si="6"/>
        <v>178.12500000000017</v>
      </c>
      <c r="Y7" s="3">
        <f t="shared" si="7"/>
        <v>89.062500000000085</v>
      </c>
      <c r="Z7" s="3"/>
      <c r="AA7" s="3">
        <f t="shared" si="8"/>
        <v>1473.1250000000014</v>
      </c>
      <c r="AB7" s="3">
        <f t="shared" si="9"/>
        <v>484.37500000000051</v>
      </c>
      <c r="AC7" s="3">
        <f t="shared" si="10"/>
        <v>80.729166666666742</v>
      </c>
      <c r="AD7" s="3"/>
      <c r="AE7" s="557">
        <f t="shared" si="13"/>
        <v>2.5000000000000001E-3</v>
      </c>
      <c r="AF7" s="557">
        <f t="shared" si="11"/>
        <v>1.5999999999999983E-3</v>
      </c>
      <c r="AG7" s="32">
        <f t="shared" si="14"/>
        <v>1.0103629710818451</v>
      </c>
      <c r="AH7" s="32">
        <f t="shared" si="14"/>
        <v>0.5</v>
      </c>
      <c r="AI7" s="32">
        <f t="shared" si="14"/>
        <v>0.16666666666666666</v>
      </c>
      <c r="AJ7" s="32">
        <f t="shared" si="14"/>
        <v>0.16291451884327379</v>
      </c>
      <c r="AK7" s="32">
        <f t="shared" si="14"/>
        <v>6</v>
      </c>
      <c r="AL7" s="32">
        <f t="shared" si="14"/>
        <v>2</v>
      </c>
      <c r="AM7" s="32">
        <f t="shared" si="14"/>
        <v>20</v>
      </c>
      <c r="AN7" s="32">
        <f t="shared" si="14"/>
        <v>0.14249999999999999</v>
      </c>
      <c r="AO7" s="32">
        <f t="shared" si="14"/>
        <v>0.12916666666666665</v>
      </c>
      <c r="AP7" s="43" t="s">
        <v>122</v>
      </c>
      <c r="AQ7" s="23">
        <v>7.0800000000000002E-2</v>
      </c>
      <c r="AR7" s="23">
        <v>0.1421</v>
      </c>
      <c r="AS7" s="23">
        <v>0.8165</v>
      </c>
      <c r="AT7" s="23">
        <v>2.92</v>
      </c>
      <c r="AU7" s="23">
        <v>4.3026999999999997</v>
      </c>
    </row>
    <row r="8" spans="1:47" ht="13" thickBot="1" x14ac:dyDescent="0.3">
      <c r="B8" s="57"/>
      <c r="C8" s="4"/>
      <c r="D8" s="4" t="s">
        <v>6</v>
      </c>
      <c r="E8" s="117">
        <f>(1/E7)</f>
        <v>0.98974331861078702</v>
      </c>
      <c r="F8" s="4" t="s">
        <v>207</v>
      </c>
      <c r="G8" s="118"/>
      <c r="H8" s="58" t="s">
        <v>107</v>
      </c>
      <c r="I8" s="601">
        <f>(I15*C11/C12)</f>
        <v>6.0621778264910704</v>
      </c>
      <c r="J8" s="8">
        <f t="shared" si="15"/>
        <v>24</v>
      </c>
      <c r="K8" s="899">
        <f t="shared" si="16"/>
        <v>7.1443450831176036E-2</v>
      </c>
      <c r="L8" s="526" t="str">
        <f t="shared" si="17"/>
        <v/>
      </c>
      <c r="M8" s="51" t="str">
        <f t="shared" si="18"/>
        <v/>
      </c>
      <c r="N8" s="530" t="str">
        <f t="shared" si="19"/>
        <v/>
      </c>
      <c r="O8" s="526">
        <f t="shared" si="0"/>
        <v>24</v>
      </c>
      <c r="P8" s="8">
        <f t="shared" si="12"/>
        <v>3</v>
      </c>
      <c r="R8" s="46">
        <f t="shared" si="1"/>
        <v>4.2499999999999982E-2</v>
      </c>
      <c r="S8" s="3">
        <f t="shared" si="2"/>
        <v>739.70891411448395</v>
      </c>
      <c r="T8" s="3">
        <f t="shared" si="3"/>
        <v>89.269789082254135</v>
      </c>
      <c r="U8" s="3">
        <f t="shared" si="4"/>
        <v>90.194889324995955</v>
      </c>
      <c r="V8" s="3"/>
      <c r="W8" s="3">
        <f t="shared" si="5"/>
        <v>808.92733564013906</v>
      </c>
      <c r="X8" s="3">
        <f t="shared" si="6"/>
        <v>157.78546712802782</v>
      </c>
      <c r="Y8" s="3">
        <f t="shared" si="7"/>
        <v>78.892733564013909</v>
      </c>
      <c r="Z8" s="3"/>
      <c r="AA8" s="3">
        <f t="shared" si="8"/>
        <v>1307.1972318339112</v>
      </c>
      <c r="AB8" s="3">
        <f t="shared" si="9"/>
        <v>429.06574394463706</v>
      </c>
      <c r="AC8" s="3">
        <f t="shared" si="10"/>
        <v>71.510957324106172</v>
      </c>
      <c r="AD8" s="3"/>
      <c r="AE8" s="557">
        <f t="shared" si="13"/>
        <v>2.5000000000000001E-3</v>
      </c>
      <c r="AF8" s="557">
        <f t="shared" si="11"/>
        <v>1.8062499999999984E-3</v>
      </c>
      <c r="AG8" s="32">
        <f t="shared" si="14"/>
        <v>1.0103629710818451</v>
      </c>
      <c r="AH8" s="32">
        <f t="shared" si="14"/>
        <v>0.5</v>
      </c>
      <c r="AI8" s="32">
        <f t="shared" si="14"/>
        <v>0.16666666666666666</v>
      </c>
      <c r="AJ8" s="32">
        <f t="shared" si="14"/>
        <v>0.16291451884327379</v>
      </c>
      <c r="AK8" s="32">
        <f t="shared" si="14"/>
        <v>6</v>
      </c>
      <c r="AL8" s="32">
        <f t="shared" si="14"/>
        <v>2</v>
      </c>
      <c r="AM8" s="32">
        <f t="shared" si="14"/>
        <v>20</v>
      </c>
      <c r="AN8" s="32">
        <f t="shared" si="14"/>
        <v>0.14249999999999999</v>
      </c>
      <c r="AO8" s="32">
        <f t="shared" si="14"/>
        <v>0.12916666666666665</v>
      </c>
      <c r="AP8" s="21">
        <v>4</v>
      </c>
      <c r="AQ8" s="23">
        <v>6.8099999999999994E-2</v>
      </c>
      <c r="AR8" s="23">
        <v>0.1366</v>
      </c>
      <c r="AS8" s="23">
        <v>0.76490000000000002</v>
      </c>
      <c r="AT8" s="23">
        <v>2.3534000000000002</v>
      </c>
      <c r="AU8" s="23">
        <v>3.1823999999999999</v>
      </c>
    </row>
    <row r="9" spans="1:47" ht="16" thickBot="1" x14ac:dyDescent="0.4">
      <c r="B9" s="113"/>
      <c r="C9" s="397" t="s">
        <v>297</v>
      </c>
      <c r="D9" s="910">
        <v>0.06</v>
      </c>
      <c r="E9" s="4" t="s">
        <v>3</v>
      </c>
      <c r="F9" s="4"/>
      <c r="G9" s="4" t="s">
        <v>3</v>
      </c>
      <c r="H9" s="569" t="s">
        <v>177</v>
      </c>
      <c r="I9" s="570" t="s">
        <v>232</v>
      </c>
      <c r="J9" s="8">
        <f t="shared" si="15"/>
        <v>27</v>
      </c>
      <c r="K9" s="899">
        <f t="shared" si="16"/>
        <v>6.7357531405456333E-2</v>
      </c>
      <c r="L9" s="526" t="str">
        <f t="shared" si="17"/>
        <v/>
      </c>
      <c r="M9" s="51" t="str">
        <f t="shared" si="18"/>
        <v/>
      </c>
      <c r="N9" s="530" t="str">
        <f t="shared" si="19"/>
        <v/>
      </c>
      <c r="O9" s="526">
        <f t="shared" si="0"/>
        <v>27</v>
      </c>
      <c r="P9" s="8">
        <f t="shared" si="12"/>
        <v>3</v>
      </c>
      <c r="R9" s="46">
        <f t="shared" si="1"/>
        <v>4.4999999999999984E-2</v>
      </c>
      <c r="S9" s="3">
        <f t="shared" si="2"/>
        <v>661.96258079964764</v>
      </c>
      <c r="T9" s="3">
        <f t="shared" si="3"/>
        <v>79.626447669047664</v>
      </c>
      <c r="U9" s="3">
        <f t="shared" si="4"/>
        <v>80.451614243592061</v>
      </c>
      <c r="V9" s="3"/>
      <c r="W9" s="3">
        <f t="shared" si="5"/>
        <v>723.70370370370415</v>
      </c>
      <c r="X9" s="3">
        <f t="shared" si="6"/>
        <v>140.74074074074082</v>
      </c>
      <c r="Y9" s="3">
        <f t="shared" si="7"/>
        <v>70.370370370370409</v>
      </c>
      <c r="Z9" s="3"/>
      <c r="AA9" s="3">
        <f t="shared" si="8"/>
        <v>1168.1481481481487</v>
      </c>
      <c r="AB9" s="3">
        <f t="shared" si="9"/>
        <v>382.71604938271628</v>
      </c>
      <c r="AC9" s="3">
        <f t="shared" si="10"/>
        <v>63.786008230452708</v>
      </c>
      <c r="AD9" s="3"/>
      <c r="AE9" s="557">
        <f t="shared" si="13"/>
        <v>2.5000000000000001E-3</v>
      </c>
      <c r="AF9" s="557">
        <f t="shared" si="11"/>
        <v>2.0249999999999986E-3</v>
      </c>
      <c r="AG9" s="32">
        <f t="shared" si="14"/>
        <v>1.0103629710818451</v>
      </c>
      <c r="AH9" s="32">
        <f t="shared" si="14"/>
        <v>0.5</v>
      </c>
      <c r="AI9" s="32">
        <f t="shared" si="14"/>
        <v>0.16666666666666666</v>
      </c>
      <c r="AJ9" s="32">
        <f t="shared" si="14"/>
        <v>0.16291451884327379</v>
      </c>
      <c r="AK9" s="32">
        <f t="shared" si="14"/>
        <v>6</v>
      </c>
      <c r="AL9" s="32">
        <f t="shared" si="14"/>
        <v>2</v>
      </c>
      <c r="AM9" s="32">
        <f t="shared" si="14"/>
        <v>20</v>
      </c>
      <c r="AN9" s="32">
        <f t="shared" si="14"/>
        <v>0.14249999999999999</v>
      </c>
      <c r="AO9" s="32">
        <f t="shared" si="14"/>
        <v>0.12916666666666665</v>
      </c>
      <c r="AP9" s="21">
        <v>5</v>
      </c>
      <c r="AQ9" s="23">
        <v>6.6699999999999995E-2</v>
      </c>
      <c r="AR9" s="23">
        <v>0.1338</v>
      </c>
      <c r="AS9" s="23">
        <v>0.74070000000000003</v>
      </c>
      <c r="AT9" s="23">
        <v>2.1318000000000001</v>
      </c>
      <c r="AU9" s="23">
        <v>2.7764000000000002</v>
      </c>
    </row>
    <row r="10" spans="1:47" ht="13" thickBot="1" x14ac:dyDescent="0.3">
      <c r="B10" s="112" t="s">
        <v>3</v>
      </c>
      <c r="C10" s="4"/>
      <c r="D10" s="4"/>
      <c r="E10" s="4"/>
      <c r="F10" s="4"/>
      <c r="G10" s="4"/>
      <c r="H10" s="569" t="s">
        <v>178</v>
      </c>
      <c r="I10" s="570" t="s">
        <v>260</v>
      </c>
      <c r="J10" s="8">
        <f t="shared" si="15"/>
        <v>30</v>
      </c>
      <c r="K10" s="899">
        <f t="shared" si="16"/>
        <v>6.3900965042269373E-2</v>
      </c>
      <c r="L10" s="526" t="str">
        <f t="shared" si="17"/>
        <v/>
      </c>
      <c r="M10" s="51" t="str">
        <f t="shared" si="18"/>
        <v/>
      </c>
      <c r="N10" s="530" t="str">
        <f t="shared" si="19"/>
        <v/>
      </c>
      <c r="O10" s="526">
        <f t="shared" si="0"/>
        <v>30</v>
      </c>
      <c r="P10" s="8">
        <f t="shared" si="12"/>
        <v>3</v>
      </c>
      <c r="R10" s="46">
        <f t="shared" si="1"/>
        <v>4.7499999999999987E-2</v>
      </c>
      <c r="S10" s="3">
        <f t="shared" si="2"/>
        <v>596.1658619919275</v>
      </c>
      <c r="T10" s="3">
        <f t="shared" si="3"/>
        <v>71.465288212663268</v>
      </c>
      <c r="U10" s="3">
        <f t="shared" si="4"/>
        <v>72.205880927766827</v>
      </c>
      <c r="V10" s="3"/>
      <c r="W10" s="3">
        <f t="shared" si="5"/>
        <v>651.57894736842138</v>
      </c>
      <c r="X10" s="3">
        <f t="shared" si="6"/>
        <v>126.31578947368428</v>
      </c>
      <c r="Y10" s="3">
        <f t="shared" si="7"/>
        <v>63.157894736842138</v>
      </c>
      <c r="Z10" s="3"/>
      <c r="AA10" s="3">
        <f t="shared" si="8"/>
        <v>1050.4709141274243</v>
      </c>
      <c r="AB10" s="3">
        <f t="shared" si="9"/>
        <v>343.49030470914141</v>
      </c>
      <c r="AC10" s="3">
        <f t="shared" si="10"/>
        <v>57.248384118190231</v>
      </c>
      <c r="AD10" s="3"/>
      <c r="AE10" s="557">
        <f t="shared" si="13"/>
        <v>2.5000000000000001E-3</v>
      </c>
      <c r="AF10" s="557">
        <f t="shared" si="11"/>
        <v>2.2562499999999987E-3</v>
      </c>
      <c r="AG10" s="32">
        <f t="shared" si="14"/>
        <v>1.0103629710818451</v>
      </c>
      <c r="AH10" s="32">
        <f t="shared" si="14"/>
        <v>0.5</v>
      </c>
      <c r="AI10" s="32">
        <f t="shared" si="14"/>
        <v>0.16666666666666666</v>
      </c>
      <c r="AJ10" s="32">
        <f t="shared" si="14"/>
        <v>0.16291451884327379</v>
      </c>
      <c r="AK10" s="32">
        <f t="shared" si="14"/>
        <v>6</v>
      </c>
      <c r="AL10" s="32">
        <f t="shared" si="14"/>
        <v>2</v>
      </c>
      <c r="AM10" s="32">
        <f t="shared" si="14"/>
        <v>20</v>
      </c>
      <c r="AN10" s="32">
        <f t="shared" si="14"/>
        <v>0.14249999999999999</v>
      </c>
      <c r="AO10" s="32">
        <f t="shared" si="14"/>
        <v>0.12916666666666665</v>
      </c>
      <c r="AP10" s="21">
        <v>6</v>
      </c>
      <c r="AQ10" s="23">
        <v>6.59E-2</v>
      </c>
      <c r="AR10" s="23">
        <v>0.13220000000000001</v>
      </c>
      <c r="AS10" s="23">
        <v>0.72670000000000001</v>
      </c>
      <c r="AT10" s="23">
        <v>2.0150000000000001</v>
      </c>
      <c r="AU10" s="23">
        <v>2.5706000000000002</v>
      </c>
    </row>
    <row r="11" spans="1:47" ht="14" x14ac:dyDescent="0.3">
      <c r="B11" s="119" t="s">
        <v>8</v>
      </c>
      <c r="C11" s="911">
        <f>IF(D9&gt;0, (C12*E7),"")</f>
        <v>45.254033012020493</v>
      </c>
      <c r="D11" s="464" t="s">
        <v>296</v>
      </c>
      <c r="E11" s="120">
        <f>IF(D9&gt;0,(C3/(SQRT(C11))),"")</f>
        <v>5.2028271718295646E-2</v>
      </c>
      <c r="F11" s="464" t="s">
        <v>267</v>
      </c>
      <c r="G11" s="121">
        <f>(C11*E3)+(C12*E5)+H3+H4+H5</f>
        <v>381.10395169980148</v>
      </c>
      <c r="H11" s="58" t="s">
        <v>102</v>
      </c>
      <c r="I11" s="122">
        <f>(G11/C11)</f>
        <v>8.4214361977101948</v>
      </c>
      <c r="J11" s="8">
        <f t="shared" si="15"/>
        <v>33</v>
      </c>
      <c r="K11" s="899">
        <f t="shared" si="16"/>
        <v>6.0927179584494243E-2</v>
      </c>
      <c r="L11" s="526" t="str">
        <f t="shared" si="17"/>
        <v/>
      </c>
      <c r="M11" s="51" t="str">
        <f t="shared" si="18"/>
        <v/>
      </c>
      <c r="N11" s="530" t="str">
        <f t="shared" si="19"/>
        <v/>
      </c>
      <c r="O11" s="526">
        <f t="shared" si="0"/>
        <v>33</v>
      </c>
      <c r="P11" s="8">
        <f t="shared" si="12"/>
        <v>3</v>
      </c>
      <c r="R11" s="46">
        <f t="shared" si="1"/>
        <v>4.9999999999999989E-2</v>
      </c>
      <c r="S11" s="3">
        <f t="shared" si="2"/>
        <v>539.98969044771445</v>
      </c>
      <c r="T11" s="3">
        <f t="shared" si="3"/>
        <v>64.497422611928585</v>
      </c>
      <c r="U11" s="3">
        <f t="shared" si="4"/>
        <v>65.165807537309547</v>
      </c>
      <c r="V11" s="3"/>
      <c r="W11" s="3">
        <f t="shared" si="5"/>
        <v>590.00000000000023</v>
      </c>
      <c r="X11" s="3">
        <f t="shared" si="6"/>
        <v>114.00000000000004</v>
      </c>
      <c r="Y11" s="3">
        <f t="shared" si="7"/>
        <v>57.000000000000021</v>
      </c>
      <c r="Z11" s="3"/>
      <c r="AA11" s="3">
        <f t="shared" si="8"/>
        <v>950.00000000000045</v>
      </c>
      <c r="AB11" s="3">
        <f t="shared" si="9"/>
        <v>310.00000000000017</v>
      </c>
      <c r="AC11" s="3">
        <f t="shared" si="10"/>
        <v>51.666666666666693</v>
      </c>
      <c r="AD11" s="3"/>
      <c r="AE11" s="557">
        <f t="shared" si="13"/>
        <v>2.5000000000000001E-3</v>
      </c>
      <c r="AF11" s="557">
        <f t="shared" si="11"/>
        <v>2.4999999999999988E-3</v>
      </c>
      <c r="AG11" s="32">
        <f t="shared" si="14"/>
        <v>1.0103629710818451</v>
      </c>
      <c r="AH11" s="32">
        <f t="shared" si="14"/>
        <v>0.5</v>
      </c>
      <c r="AI11" s="32">
        <f t="shared" si="14"/>
        <v>0.16666666666666666</v>
      </c>
      <c r="AJ11" s="32">
        <f t="shared" si="14"/>
        <v>0.16291451884327379</v>
      </c>
      <c r="AK11" s="32">
        <f t="shared" si="14"/>
        <v>6</v>
      </c>
      <c r="AL11" s="32">
        <f t="shared" si="14"/>
        <v>2</v>
      </c>
      <c r="AM11" s="32">
        <f t="shared" si="14"/>
        <v>20</v>
      </c>
      <c r="AN11" s="32">
        <f t="shared" si="14"/>
        <v>0.14249999999999999</v>
      </c>
      <c r="AO11" s="32">
        <f t="shared" si="14"/>
        <v>0.12916666666666665</v>
      </c>
      <c r="AP11" s="21">
        <v>7</v>
      </c>
      <c r="AQ11" s="23">
        <v>6.54E-2</v>
      </c>
      <c r="AR11" s="23">
        <v>0.13109999999999999</v>
      </c>
      <c r="AS11" s="23">
        <v>0.71760000000000002</v>
      </c>
      <c r="AT11" s="23">
        <v>1.9432</v>
      </c>
      <c r="AU11" s="23">
        <v>2.4468999999999999</v>
      </c>
    </row>
    <row r="12" spans="1:47" ht="14.5" thickBot="1" x14ac:dyDescent="0.35">
      <c r="B12" s="123" t="s">
        <v>12</v>
      </c>
      <c r="C12" s="912">
        <f>IF(D9&gt;0,((C3*C3)+(C5*C5*E7))/(D9*D9*E7),"")</f>
        <v>44.789876813839271</v>
      </c>
      <c r="D12" s="465" t="s">
        <v>209</v>
      </c>
      <c r="E12" s="124">
        <f>IF(D9&gt;0,(C5/(SQRT(C12))),"")</f>
        <v>2.9884091788227353E-2</v>
      </c>
      <c r="F12" s="60"/>
      <c r="G12" s="60"/>
      <c r="H12" s="125" t="s">
        <v>142</v>
      </c>
      <c r="I12" s="126">
        <f>SQRT(C11)*D9</f>
        <v>0.40362670729682121</v>
      </c>
      <c r="J12" s="8">
        <f t="shared" si="15"/>
        <v>36</v>
      </c>
      <c r="K12" s="899">
        <f t="shared" ref="K12:K24" si="20">IF(J12&gt;0,(C$3/(SQRT(J12))),"")</f>
        <v>5.8333333333333327E-2</v>
      </c>
      <c r="L12" s="526">
        <f t="shared" ref="L12:L24" si="21">IF(K12&lt;D$9,(C$5/M12)*(C$5/M12),"")</f>
        <v>202.81690140845015</v>
      </c>
      <c r="M12" s="51">
        <f t="shared" ref="M12:M24" si="22">IF(K12&lt;D$9,(SQRT((D$9*D$9)-(K12*K12))),"")</f>
        <v>1.404358295529395E-2</v>
      </c>
      <c r="N12" s="530">
        <f t="shared" ref="N12:N24" si="23">IF(K12&lt;D$9,(J12*E$3)+(L12*E$5)+H$6,"")</f>
        <v>641.63380281690024</v>
      </c>
      <c r="O12" s="526">
        <f t="shared" si="0"/>
        <v>36</v>
      </c>
      <c r="P12" s="8">
        <f t="shared" si="12"/>
        <v>3</v>
      </c>
      <c r="R12" s="46">
        <f t="shared" si="1"/>
        <v>5.2499999999999991E-2</v>
      </c>
      <c r="S12" s="3">
        <f t="shared" si="2"/>
        <v>491.64597773035325</v>
      </c>
      <c r="T12" s="3">
        <f t="shared" si="3"/>
        <v>58.501063593586011</v>
      </c>
      <c r="U12" s="3">
        <f t="shared" si="4"/>
        <v>59.107308423863529</v>
      </c>
      <c r="V12" s="3"/>
      <c r="W12" s="3">
        <f t="shared" si="5"/>
        <v>537.00680272108855</v>
      </c>
      <c r="X12" s="3">
        <f t="shared" si="6"/>
        <v>103.40136054421771</v>
      </c>
      <c r="Y12" s="3">
        <f t="shared" si="7"/>
        <v>51.700680272108855</v>
      </c>
      <c r="Z12" s="3"/>
      <c r="AA12" s="3">
        <f t="shared" si="8"/>
        <v>863.53741496598661</v>
      </c>
      <c r="AB12" s="3">
        <f t="shared" si="9"/>
        <v>281.17913832199554</v>
      </c>
      <c r="AC12" s="3">
        <f t="shared" si="10"/>
        <v>46.863189720332585</v>
      </c>
      <c r="AD12" s="3"/>
      <c r="AE12" s="557">
        <f t="shared" si="13"/>
        <v>2.5000000000000001E-3</v>
      </c>
      <c r="AF12" s="557">
        <f t="shared" si="11"/>
        <v>2.7562499999999992E-3</v>
      </c>
      <c r="AG12" s="32">
        <f t="shared" si="14"/>
        <v>1.0103629710818451</v>
      </c>
      <c r="AH12" s="32">
        <f t="shared" si="14"/>
        <v>0.5</v>
      </c>
      <c r="AI12" s="32">
        <f t="shared" si="14"/>
        <v>0.16666666666666666</v>
      </c>
      <c r="AJ12" s="32">
        <f t="shared" si="14"/>
        <v>0.16291451884327379</v>
      </c>
      <c r="AK12" s="32">
        <f t="shared" si="14"/>
        <v>6</v>
      </c>
      <c r="AL12" s="32">
        <f t="shared" si="14"/>
        <v>2</v>
      </c>
      <c r="AM12" s="32">
        <f t="shared" si="14"/>
        <v>20</v>
      </c>
      <c r="AN12" s="32">
        <f t="shared" si="14"/>
        <v>0.14249999999999999</v>
      </c>
      <c r="AO12" s="32">
        <f t="shared" si="14"/>
        <v>0.12916666666666665</v>
      </c>
      <c r="AP12" s="21">
        <v>8</v>
      </c>
      <c r="AQ12" s="23">
        <v>6.5000000000000002E-2</v>
      </c>
      <c r="AR12" s="23">
        <v>0.1303</v>
      </c>
      <c r="AS12" s="23">
        <v>0.71109999999999995</v>
      </c>
      <c r="AT12" s="23">
        <v>1.8946000000000001</v>
      </c>
      <c r="AU12" s="23">
        <v>2.3645999999999998</v>
      </c>
    </row>
    <row r="13" spans="1:47" ht="13.5" thickBot="1" x14ac:dyDescent="0.35">
      <c r="B13" s="165" t="s">
        <v>51</v>
      </c>
      <c r="C13" s="571" t="s">
        <v>52</v>
      </c>
      <c r="D13" s="572"/>
      <c r="E13" s="572"/>
      <c r="F13" s="572"/>
      <c r="G13" s="572"/>
      <c r="H13" s="572"/>
      <c r="I13" s="572"/>
      <c r="J13" s="8">
        <f t="shared" si="15"/>
        <v>39</v>
      </c>
      <c r="K13" s="899">
        <f t="shared" si="20"/>
        <v>5.604485383178049E-2</v>
      </c>
      <c r="L13" s="526">
        <f t="shared" si="21"/>
        <v>87.150837988826666</v>
      </c>
      <c r="M13" s="51">
        <f t="shared" si="22"/>
        <v>2.1423686866978799E-2</v>
      </c>
      <c r="N13" s="530">
        <f t="shared" si="23"/>
        <v>428.3016759776533</v>
      </c>
      <c r="O13" s="526">
        <f t="shared" si="0"/>
        <v>39</v>
      </c>
      <c r="P13" s="8">
        <f t="shared" si="12"/>
        <v>3</v>
      </c>
      <c r="R13" s="46">
        <f t="shared" si="1"/>
        <v>5.4999999999999993E-2</v>
      </c>
      <c r="S13" s="3">
        <f t="shared" si="2"/>
        <v>449.74354582455726</v>
      </c>
      <c r="T13" s="3">
        <f t="shared" si="3"/>
        <v>53.303655051180634</v>
      </c>
      <c r="U13" s="3">
        <f t="shared" si="4"/>
        <v>53.856039287032665</v>
      </c>
      <c r="V13" s="3"/>
      <c r="W13" s="3">
        <f t="shared" si="5"/>
        <v>491.07438016528931</v>
      </c>
      <c r="X13" s="3">
        <f t="shared" si="6"/>
        <v>94.214876033057863</v>
      </c>
      <c r="Y13" s="3">
        <f t="shared" si="7"/>
        <v>47.107438016528931</v>
      </c>
      <c r="Z13" s="3"/>
      <c r="AA13" s="3">
        <f t="shared" si="8"/>
        <v>788.59504132231416</v>
      </c>
      <c r="AB13" s="3">
        <f t="shared" si="9"/>
        <v>256.19834710743805</v>
      </c>
      <c r="AC13" s="3">
        <f t="shared" si="10"/>
        <v>42.69972451790634</v>
      </c>
      <c r="AD13" s="3"/>
      <c r="AE13" s="557">
        <f t="shared" si="13"/>
        <v>2.5000000000000001E-3</v>
      </c>
      <c r="AF13" s="557">
        <f t="shared" si="11"/>
        <v>3.0249999999999995E-3</v>
      </c>
      <c r="AG13" s="32">
        <f t="shared" si="14"/>
        <v>1.0103629710818451</v>
      </c>
      <c r="AH13" s="32">
        <f t="shared" si="14"/>
        <v>0.5</v>
      </c>
      <c r="AI13" s="32">
        <f t="shared" si="14"/>
        <v>0.16666666666666666</v>
      </c>
      <c r="AJ13" s="32">
        <f t="shared" si="14"/>
        <v>0.16291451884327379</v>
      </c>
      <c r="AK13" s="32">
        <f t="shared" si="14"/>
        <v>6</v>
      </c>
      <c r="AL13" s="32">
        <f t="shared" si="14"/>
        <v>2</v>
      </c>
      <c r="AM13" s="32">
        <f t="shared" si="14"/>
        <v>20</v>
      </c>
      <c r="AN13" s="32">
        <f t="shared" si="14"/>
        <v>0.14249999999999999</v>
      </c>
      <c r="AO13" s="32">
        <f t="shared" si="14"/>
        <v>0.12916666666666665</v>
      </c>
      <c r="AP13" s="21">
        <v>9</v>
      </c>
      <c r="AQ13" s="23">
        <v>6.4699999999999994E-2</v>
      </c>
      <c r="AR13" s="23">
        <v>0.12970000000000001</v>
      </c>
      <c r="AS13" s="23">
        <v>0.70640000000000003</v>
      </c>
      <c r="AT13" s="23">
        <v>1.8594999999999999</v>
      </c>
      <c r="AU13" s="23">
        <v>2.306</v>
      </c>
    </row>
    <row r="14" spans="1:47" ht="17" customHeight="1" thickBot="1" x14ac:dyDescent="0.35">
      <c r="A14" s="468">
        <v>2</v>
      </c>
      <c r="B14" s="148" t="s">
        <v>329</v>
      </c>
      <c r="C14" s="418"/>
      <c r="D14" s="150"/>
      <c r="E14" s="149"/>
      <c r="F14" s="69"/>
      <c r="G14" s="368" t="s">
        <v>106</v>
      </c>
      <c r="H14" s="69"/>
      <c r="I14" s="64">
        <f>IF(I15&gt;0,(I15*C15/C16),"")</f>
        <v>3</v>
      </c>
      <c r="J14" s="24">
        <f t="shared" si="15"/>
        <v>42</v>
      </c>
      <c r="K14" s="899">
        <f t="shared" si="20"/>
        <v>5.4006172486732167E-2</v>
      </c>
      <c r="L14" s="526">
        <f t="shared" si="21"/>
        <v>58.536585365853661</v>
      </c>
      <c r="M14" s="51">
        <f t="shared" si="22"/>
        <v>2.6140645235596872E-2</v>
      </c>
      <c r="N14" s="530">
        <f t="shared" si="23"/>
        <v>389.07317073170731</v>
      </c>
      <c r="O14" s="526">
        <f t="shared" si="0"/>
        <v>42</v>
      </c>
      <c r="P14" s="8">
        <f t="shared" si="12"/>
        <v>3</v>
      </c>
      <c r="R14" s="47">
        <f t="shared" si="1"/>
        <v>5.7499999999999996E-2</v>
      </c>
      <c r="S14" s="3">
        <f t="shared" si="2"/>
        <v>413.18691149165545</v>
      </c>
      <c r="T14" s="3">
        <f t="shared" si="3"/>
        <v>48.769317664974345</v>
      </c>
      <c r="U14" s="3">
        <f t="shared" si="4"/>
        <v>49.274712693617793</v>
      </c>
      <c r="V14" s="3"/>
      <c r="W14" s="3">
        <f t="shared" si="5"/>
        <v>451.00189035916827</v>
      </c>
      <c r="X14" s="3">
        <f t="shared" si="6"/>
        <v>86.200378071833654</v>
      </c>
      <c r="Y14" s="3">
        <f t="shared" si="7"/>
        <v>43.100189035916827</v>
      </c>
      <c r="Z14" s="3"/>
      <c r="AA14" s="3">
        <f t="shared" si="8"/>
        <v>723.21361058601144</v>
      </c>
      <c r="AB14" s="3">
        <f t="shared" si="9"/>
        <v>234.40453686200382</v>
      </c>
      <c r="AC14" s="3">
        <f t="shared" si="10"/>
        <v>39.067422810333966</v>
      </c>
      <c r="AD14" s="3"/>
      <c r="AE14" s="557">
        <f t="shared" si="13"/>
        <v>2.5000000000000001E-3</v>
      </c>
      <c r="AF14" s="557">
        <f t="shared" si="11"/>
        <v>3.3062499999999993E-3</v>
      </c>
      <c r="AG14" s="32">
        <f t="shared" si="14"/>
        <v>1.0103629710818451</v>
      </c>
      <c r="AH14" s="32">
        <f t="shared" si="14"/>
        <v>0.5</v>
      </c>
      <c r="AI14" s="32">
        <f t="shared" si="14"/>
        <v>0.16666666666666666</v>
      </c>
      <c r="AJ14" s="32">
        <f t="shared" si="14"/>
        <v>0.16291451884327379</v>
      </c>
      <c r="AK14" s="32">
        <f t="shared" si="14"/>
        <v>6</v>
      </c>
      <c r="AL14" s="32">
        <f t="shared" si="14"/>
        <v>2</v>
      </c>
      <c r="AM14" s="32">
        <f t="shared" si="14"/>
        <v>20</v>
      </c>
      <c r="AN14" s="32">
        <f t="shared" si="14"/>
        <v>0.14249999999999999</v>
      </c>
      <c r="AO14" s="32">
        <f t="shared" si="14"/>
        <v>0.12916666666666665</v>
      </c>
      <c r="AP14" s="21">
        <v>10</v>
      </c>
      <c r="AQ14" s="23">
        <v>6.4500000000000002E-2</v>
      </c>
      <c r="AR14" s="23">
        <v>0.1293</v>
      </c>
      <c r="AS14" s="23">
        <v>0.70269999999999999</v>
      </c>
      <c r="AT14" s="23">
        <v>1.8331</v>
      </c>
      <c r="AU14" s="23">
        <v>2.2622</v>
      </c>
    </row>
    <row r="15" spans="1:47" ht="15.5" x14ac:dyDescent="0.35">
      <c r="B15" s="157" t="s">
        <v>53</v>
      </c>
      <c r="C15" s="906">
        <v>40</v>
      </c>
      <c r="D15" s="155">
        <f>C92</f>
        <v>39.583333333333329</v>
      </c>
      <c r="E15" s="153" t="s">
        <v>9</v>
      </c>
      <c r="F15" s="103">
        <f>(C3/(SQRT(C15)))</f>
        <v>5.5339859052946631E-2</v>
      </c>
      <c r="G15" s="68"/>
      <c r="H15" s="151" t="s">
        <v>54</v>
      </c>
      <c r="I15" s="1277">
        <v>6</v>
      </c>
      <c r="J15" s="536">
        <f>+O15</f>
        <v>45</v>
      </c>
      <c r="K15" s="899">
        <f t="shared" si="20"/>
        <v>5.2174919474995085E-2</v>
      </c>
      <c r="L15" s="526">
        <f t="shared" si="21"/>
        <v>45.569620253164516</v>
      </c>
      <c r="M15" s="51">
        <f t="shared" si="22"/>
        <v>2.962731472438531E-2</v>
      </c>
      <c r="N15" s="530">
        <f t="shared" si="23"/>
        <v>381.13924050632903</v>
      </c>
      <c r="O15" s="526">
        <f>N1+M2</f>
        <v>45</v>
      </c>
      <c r="P15" s="8">
        <f t="shared" si="12"/>
        <v>3</v>
      </c>
      <c r="Q15" s="35" t="s">
        <v>55</v>
      </c>
      <c r="R15" s="452">
        <f>U1</f>
        <v>0.06</v>
      </c>
      <c r="S15" s="3">
        <f t="shared" si="2"/>
        <v>381.10395169980148</v>
      </c>
      <c r="T15" s="3">
        <f t="shared" si="3"/>
        <v>44.789876813839271</v>
      </c>
      <c r="U15" s="3">
        <f t="shared" si="4"/>
        <v>45.254033012020493</v>
      </c>
      <c r="V15" s="3"/>
      <c r="W15" s="3">
        <f t="shared" si="5"/>
        <v>415.83333333333326</v>
      </c>
      <c r="X15" s="3">
        <f t="shared" si="6"/>
        <v>79.166666666666657</v>
      </c>
      <c r="Y15" s="3">
        <f t="shared" si="7"/>
        <v>39.583333333333329</v>
      </c>
      <c r="Z15" s="3"/>
      <c r="AA15" s="3">
        <f t="shared" si="8"/>
        <v>665.83333333333326</v>
      </c>
      <c r="AB15" s="3">
        <f t="shared" si="9"/>
        <v>215.27777777777777</v>
      </c>
      <c r="AC15" s="3">
        <f t="shared" si="10"/>
        <v>35.879629629629626</v>
      </c>
      <c r="AD15" s="3"/>
      <c r="AE15" s="557">
        <f t="shared" si="13"/>
        <v>2.5000000000000001E-3</v>
      </c>
      <c r="AF15" s="557">
        <f t="shared" si="11"/>
        <v>3.5999999999999999E-3</v>
      </c>
      <c r="AG15" s="32">
        <f t="shared" si="14"/>
        <v>1.0103629710818451</v>
      </c>
      <c r="AH15" s="32">
        <f t="shared" si="14"/>
        <v>0.5</v>
      </c>
      <c r="AI15" s="32">
        <f t="shared" si="14"/>
        <v>0.16666666666666666</v>
      </c>
      <c r="AJ15" s="32">
        <f t="shared" si="14"/>
        <v>0.16291451884327379</v>
      </c>
      <c r="AK15" s="32">
        <f t="shared" si="14"/>
        <v>6</v>
      </c>
      <c r="AL15" s="32">
        <f t="shared" si="14"/>
        <v>2</v>
      </c>
      <c r="AM15" s="32">
        <f t="shared" si="14"/>
        <v>20</v>
      </c>
      <c r="AN15" s="32">
        <f t="shared" si="14"/>
        <v>0.14249999999999999</v>
      </c>
      <c r="AO15" s="32">
        <f t="shared" si="14"/>
        <v>0.12916666666666665</v>
      </c>
      <c r="AP15" s="21">
        <v>11</v>
      </c>
      <c r="AQ15" s="23">
        <v>6.4299999999999996E-2</v>
      </c>
      <c r="AR15" s="23">
        <v>0.12889999999999999</v>
      </c>
      <c r="AS15" s="23">
        <v>0.69979999999999998</v>
      </c>
      <c r="AT15" s="23">
        <v>1.8125</v>
      </c>
      <c r="AU15" s="23">
        <v>2.2281</v>
      </c>
    </row>
    <row r="16" spans="1:47" ht="16" thickBot="1" x14ac:dyDescent="0.4">
      <c r="B16" s="157" t="s">
        <v>56</v>
      </c>
      <c r="C16" s="907">
        <v>80</v>
      </c>
      <c r="D16" s="155">
        <f>C93</f>
        <v>79.166666666666657</v>
      </c>
      <c r="E16" s="151" t="s">
        <v>13</v>
      </c>
      <c r="F16" s="103">
        <f>(C5/(SQRT(C16)))</f>
        <v>2.2360679774997897E-2</v>
      </c>
      <c r="G16" s="68"/>
      <c r="H16" s="152" t="s">
        <v>104</v>
      </c>
      <c r="I16" s="65">
        <f>IF(I15&gt;0,(I15*C15),"")</f>
        <v>240</v>
      </c>
      <c r="J16" s="8">
        <f t="shared" si="15"/>
        <v>48</v>
      </c>
      <c r="K16" s="899">
        <f t="shared" si="20"/>
        <v>5.0518148554092257E-2</v>
      </c>
      <c r="L16" s="526">
        <f t="shared" si="21"/>
        <v>38.170974155069594</v>
      </c>
      <c r="M16" s="51">
        <f t="shared" si="22"/>
        <v>3.2371540999258382E-2</v>
      </c>
      <c r="N16" s="530">
        <f t="shared" si="23"/>
        <v>384.34194831013917</v>
      </c>
      <c r="O16" s="526">
        <f t="shared" ref="O16:O24" si="24">O15+P15</f>
        <v>48</v>
      </c>
      <c r="P16" s="8">
        <f t="shared" si="12"/>
        <v>3</v>
      </c>
      <c r="R16" s="46">
        <f t="shared" ref="R16:R26" si="25">R15+AE17</f>
        <v>6.25E-2</v>
      </c>
      <c r="S16" s="3">
        <f t="shared" si="2"/>
        <v>352.79340188653708</v>
      </c>
      <c r="T16" s="3">
        <f t="shared" si="3"/>
        <v>41.278350471634276</v>
      </c>
      <c r="U16" s="3">
        <f t="shared" si="4"/>
        <v>41.706116823878091</v>
      </c>
      <c r="V16" s="3"/>
      <c r="W16" s="3">
        <f t="shared" si="5"/>
        <v>384.79999999999995</v>
      </c>
      <c r="X16" s="3">
        <f t="shared" si="6"/>
        <v>72.959999999999994</v>
      </c>
      <c r="Y16" s="3">
        <f t="shared" si="7"/>
        <v>36.479999999999997</v>
      </c>
      <c r="Z16" s="3"/>
      <c r="AA16" s="3">
        <f t="shared" si="8"/>
        <v>615.19999999999993</v>
      </c>
      <c r="AB16" s="3">
        <f t="shared" si="9"/>
        <v>198.39999999999998</v>
      </c>
      <c r="AC16" s="3">
        <f t="shared" si="10"/>
        <v>33.066666666666663</v>
      </c>
      <c r="AD16" s="3"/>
      <c r="AE16" s="557">
        <f t="shared" si="13"/>
        <v>2.5000000000000001E-3</v>
      </c>
      <c r="AF16" s="557">
        <f t="shared" si="11"/>
        <v>3.90625E-3</v>
      </c>
      <c r="AG16" s="32">
        <f t="shared" si="14"/>
        <v>1.0103629710818451</v>
      </c>
      <c r="AH16" s="32">
        <f t="shared" si="14"/>
        <v>0.5</v>
      </c>
      <c r="AI16" s="32">
        <f t="shared" si="14"/>
        <v>0.16666666666666666</v>
      </c>
      <c r="AJ16" s="32">
        <f t="shared" si="14"/>
        <v>0.16291451884327379</v>
      </c>
      <c r="AK16" s="32">
        <f t="shared" si="14"/>
        <v>6</v>
      </c>
      <c r="AL16" s="32">
        <f t="shared" si="14"/>
        <v>2</v>
      </c>
      <c r="AM16" s="32">
        <f t="shared" si="14"/>
        <v>20</v>
      </c>
      <c r="AN16" s="32">
        <f t="shared" si="14"/>
        <v>0.14249999999999999</v>
      </c>
      <c r="AO16" s="32">
        <f t="shared" si="14"/>
        <v>0.12916666666666665</v>
      </c>
      <c r="AP16" s="21">
        <v>12</v>
      </c>
      <c r="AQ16" s="23">
        <v>6.4199999999999993E-2</v>
      </c>
      <c r="AR16" s="23">
        <v>0.12859999999999999</v>
      </c>
      <c r="AS16" s="23">
        <v>0.68740000000000001</v>
      </c>
      <c r="AT16" s="23">
        <v>1.7959000000000001</v>
      </c>
      <c r="AU16" s="23">
        <v>2.2010000000000001</v>
      </c>
    </row>
    <row r="17" spans="1:47" ht="14.5" thickBot="1" x14ac:dyDescent="0.35">
      <c r="B17" s="337" t="s">
        <v>181</v>
      </c>
      <c r="C17" s="335" t="s">
        <v>57</v>
      </c>
      <c r="D17" s="427">
        <f>M28</f>
        <v>0.91648244897747866</v>
      </c>
      <c r="E17" s="154" t="s">
        <v>58</v>
      </c>
      <c r="F17" s="913">
        <f>(SQRT(F15*F15+F16*F16))</f>
        <v>5.9686681931566607E-2</v>
      </c>
      <c r="G17" s="68"/>
      <c r="H17" s="152" t="s">
        <v>221</v>
      </c>
      <c r="I17" s="66">
        <f>IF(I15="","",C16/I15)</f>
        <v>13.333333333333334</v>
      </c>
      <c r="J17" s="8">
        <f t="shared" si="15"/>
        <v>51</v>
      </c>
      <c r="K17" s="899">
        <f t="shared" si="20"/>
        <v>4.900980294098034E-2</v>
      </c>
      <c r="L17" s="526">
        <f t="shared" si="21"/>
        <v>33.387888707037646</v>
      </c>
      <c r="M17" s="51">
        <f t="shared" si="22"/>
        <v>3.4612703097075134E-2</v>
      </c>
      <c r="N17" s="530">
        <f t="shared" si="23"/>
        <v>392.77577741407526</v>
      </c>
      <c r="O17" s="526">
        <f t="shared" si="24"/>
        <v>51</v>
      </c>
      <c r="P17" s="8">
        <f t="shared" si="12"/>
        <v>3</v>
      </c>
      <c r="R17" s="46">
        <f t="shared" si="25"/>
        <v>6.5000000000000002E-2</v>
      </c>
      <c r="S17" s="3">
        <f t="shared" si="2"/>
        <v>327.68620736551139</v>
      </c>
      <c r="T17" s="3">
        <f t="shared" si="3"/>
        <v>38.164155391673702</v>
      </c>
      <c r="U17" s="3">
        <f t="shared" si="4"/>
        <v>38.559649430360665</v>
      </c>
      <c r="V17" s="3"/>
      <c r="W17" s="3">
        <f t="shared" si="5"/>
        <v>357.27810650887568</v>
      </c>
      <c r="X17" s="3">
        <f t="shared" si="6"/>
        <v>67.455621301775139</v>
      </c>
      <c r="Y17" s="3">
        <f t="shared" si="7"/>
        <v>33.727810650887569</v>
      </c>
      <c r="Z17" s="3"/>
      <c r="AA17" s="3">
        <f t="shared" si="8"/>
        <v>570.29585798816549</v>
      </c>
      <c r="AB17" s="3">
        <f t="shared" si="9"/>
        <v>183.43195266272184</v>
      </c>
      <c r="AC17" s="3">
        <f t="shared" si="10"/>
        <v>30.571992110453639</v>
      </c>
      <c r="AD17" s="3"/>
      <c r="AE17" s="557">
        <f t="shared" si="13"/>
        <v>2.5000000000000001E-3</v>
      </c>
      <c r="AF17" s="557">
        <f t="shared" si="11"/>
        <v>4.2250000000000005E-3</v>
      </c>
      <c r="AG17" s="32">
        <f t="shared" si="14"/>
        <v>1.0103629710818451</v>
      </c>
      <c r="AH17" s="32">
        <f t="shared" si="14"/>
        <v>0.5</v>
      </c>
      <c r="AI17" s="32">
        <f t="shared" si="14"/>
        <v>0.16666666666666666</v>
      </c>
      <c r="AJ17" s="32">
        <f t="shared" si="14"/>
        <v>0.16291451884327379</v>
      </c>
      <c r="AK17" s="32">
        <f t="shared" si="14"/>
        <v>6</v>
      </c>
      <c r="AL17" s="32">
        <f t="shared" si="14"/>
        <v>2</v>
      </c>
      <c r="AM17" s="32">
        <f t="shared" si="14"/>
        <v>20</v>
      </c>
      <c r="AN17" s="32">
        <f t="shared" si="14"/>
        <v>0.14249999999999999</v>
      </c>
      <c r="AO17" s="32">
        <f t="shared" si="14"/>
        <v>0.12916666666666665</v>
      </c>
      <c r="AP17" s="21">
        <v>13</v>
      </c>
      <c r="AQ17" s="23">
        <v>6.4000000000000001E-2</v>
      </c>
      <c r="AR17" s="23">
        <v>0.1283</v>
      </c>
      <c r="AS17" s="23">
        <v>0.69550000000000001</v>
      </c>
      <c r="AT17" s="23">
        <v>1.7823</v>
      </c>
      <c r="AU17" s="23">
        <v>2.1787999999999998</v>
      </c>
    </row>
    <row r="18" spans="1:47" x14ac:dyDescent="0.25">
      <c r="B18" s="156" t="s">
        <v>3</v>
      </c>
      <c r="C18" s="336" t="s">
        <v>59</v>
      </c>
      <c r="D18" s="427">
        <f>M27</f>
        <v>0.91226261482055127</v>
      </c>
      <c r="E18" s="592" t="s">
        <v>266</v>
      </c>
      <c r="F18" s="339">
        <f>(C15*E3+C16*E5)+H3+H4+H5</f>
        <v>420</v>
      </c>
      <c r="G18" s="68"/>
      <c r="H18" s="152" t="s">
        <v>11</v>
      </c>
      <c r="I18" s="66">
        <f>(F18/C15)</f>
        <v>10.5</v>
      </c>
      <c r="J18" s="8">
        <f t="shared" si="15"/>
        <v>54</v>
      </c>
      <c r="K18" s="899">
        <f t="shared" si="20"/>
        <v>4.7628967220784017E-2</v>
      </c>
      <c r="L18" s="526">
        <f t="shared" si="21"/>
        <v>30.041724617524338</v>
      </c>
      <c r="M18" s="51">
        <f t="shared" si="22"/>
        <v>3.6489470830384507E-2</v>
      </c>
      <c r="N18" s="530">
        <f t="shared" si="23"/>
        <v>404.08344923504865</v>
      </c>
      <c r="O18" s="526">
        <f t="shared" si="24"/>
        <v>54</v>
      </c>
      <c r="P18" s="8">
        <f t="shared" si="12"/>
        <v>3</v>
      </c>
      <c r="R18" s="46">
        <f t="shared" si="25"/>
        <v>6.7500000000000004E-2</v>
      </c>
      <c r="S18" s="3">
        <f t="shared" si="2"/>
        <v>305.31670257762096</v>
      </c>
      <c r="T18" s="3">
        <f t="shared" si="3"/>
        <v>35.389532297354485</v>
      </c>
      <c r="U18" s="3">
        <f t="shared" si="4"/>
        <v>35.756272997151996</v>
      </c>
      <c r="V18" s="3"/>
      <c r="W18" s="3">
        <f t="shared" si="5"/>
        <v>332.75720164609049</v>
      </c>
      <c r="X18" s="3">
        <f t="shared" si="6"/>
        <v>62.551440329218096</v>
      </c>
      <c r="Y18" s="3">
        <f t="shared" si="7"/>
        <v>31.275720164609048</v>
      </c>
      <c r="Z18" s="3"/>
      <c r="AA18" s="3">
        <f t="shared" si="8"/>
        <v>530.28806584362133</v>
      </c>
      <c r="AB18" s="3">
        <f t="shared" si="9"/>
        <v>170.09602194787377</v>
      </c>
      <c r="AC18" s="3">
        <f t="shared" si="10"/>
        <v>28.349336991312292</v>
      </c>
      <c r="AD18" s="3"/>
      <c r="AE18" s="557">
        <f t="shared" si="13"/>
        <v>2.5000000000000001E-3</v>
      </c>
      <c r="AF18" s="557">
        <f t="shared" si="11"/>
        <v>4.5562500000000004E-3</v>
      </c>
      <c r="AG18" s="32">
        <f t="shared" si="14"/>
        <v>1.0103629710818451</v>
      </c>
      <c r="AH18" s="32">
        <f t="shared" si="14"/>
        <v>0.5</v>
      </c>
      <c r="AI18" s="32">
        <f t="shared" si="14"/>
        <v>0.16666666666666666</v>
      </c>
      <c r="AJ18" s="32">
        <f t="shared" si="14"/>
        <v>0.16291451884327379</v>
      </c>
      <c r="AK18" s="32">
        <f t="shared" si="14"/>
        <v>6</v>
      </c>
      <c r="AL18" s="32">
        <f t="shared" si="14"/>
        <v>2</v>
      </c>
      <c r="AM18" s="32">
        <f t="shared" si="14"/>
        <v>20</v>
      </c>
      <c r="AN18" s="32">
        <f t="shared" si="14"/>
        <v>0.14249999999999999</v>
      </c>
      <c r="AO18" s="32">
        <f t="shared" si="14"/>
        <v>0.12916666666666665</v>
      </c>
      <c r="AP18" s="21">
        <v>14</v>
      </c>
      <c r="AQ18" s="23">
        <v>6.3899999999999998E-2</v>
      </c>
      <c r="AR18" s="23">
        <v>0.12809999999999999</v>
      </c>
      <c r="AS18" s="23">
        <v>0.69379999999999997</v>
      </c>
      <c r="AT18" s="23">
        <v>1.7708999999999999</v>
      </c>
      <c r="AU18" s="23">
        <v>2.1604000000000001</v>
      </c>
    </row>
    <row r="19" spans="1:47" ht="13" thickBot="1" x14ac:dyDescent="0.3">
      <c r="B19" s="178"/>
      <c r="C19" s="70"/>
      <c r="D19" s="70"/>
      <c r="E19" s="428" t="s">
        <v>300</v>
      </c>
      <c r="F19" s="324">
        <f>(F18/G11)</f>
        <v>1.1020615192435401</v>
      </c>
      <c r="G19" s="324">
        <f>1/(F19)</f>
        <v>0.9073903611900036</v>
      </c>
      <c r="H19" s="180" t="s">
        <v>142</v>
      </c>
      <c r="I19" s="104">
        <f>SQRT(C15)*F17</f>
        <v>0.37749172176353751</v>
      </c>
      <c r="J19" s="8">
        <f t="shared" si="15"/>
        <v>57</v>
      </c>
      <c r="K19" s="899">
        <f t="shared" si="20"/>
        <v>4.6358632497276529E-2</v>
      </c>
      <c r="L19" s="526">
        <f t="shared" si="21"/>
        <v>27.569528415961297</v>
      </c>
      <c r="M19" s="51">
        <f t="shared" si="22"/>
        <v>3.8090381895991232E-2</v>
      </c>
      <c r="N19" s="530">
        <f t="shared" si="23"/>
        <v>417.13905683192257</v>
      </c>
      <c r="O19" s="526">
        <f t="shared" si="24"/>
        <v>57</v>
      </c>
      <c r="P19" s="8">
        <f t="shared" si="12"/>
        <v>3</v>
      </c>
      <c r="R19" s="46">
        <f t="shared" si="25"/>
        <v>7.0000000000000007E-2</v>
      </c>
      <c r="S19" s="3">
        <f t="shared" si="2"/>
        <v>285.30086247332355</v>
      </c>
      <c r="T19" s="3">
        <f t="shared" si="3"/>
        <v>32.906848271392114</v>
      </c>
      <c r="U19" s="3">
        <f t="shared" si="4"/>
        <v>33.24786098842322</v>
      </c>
      <c r="V19" s="3"/>
      <c r="W19" s="3">
        <f t="shared" si="5"/>
        <v>310.81632653061217</v>
      </c>
      <c r="X19" s="3">
        <f t="shared" si="6"/>
        <v>58.163265306122433</v>
      </c>
      <c r="Y19" s="3">
        <f t="shared" si="7"/>
        <v>29.081632653061217</v>
      </c>
      <c r="Z19" s="3"/>
      <c r="AA19" s="3">
        <f t="shared" si="8"/>
        <v>494.48979591836724</v>
      </c>
      <c r="AB19" s="3">
        <f t="shared" si="9"/>
        <v>158.16326530612241</v>
      </c>
      <c r="AC19" s="3">
        <f t="shared" si="10"/>
        <v>26.360544217687067</v>
      </c>
      <c r="AD19" s="3"/>
      <c r="AE19" s="557">
        <f t="shared" si="13"/>
        <v>2.5000000000000001E-3</v>
      </c>
      <c r="AF19" s="557">
        <f t="shared" si="11"/>
        <v>4.9000000000000007E-3</v>
      </c>
      <c r="AG19" s="32">
        <f t="shared" si="14"/>
        <v>1.0103629710818451</v>
      </c>
      <c r="AH19" s="32">
        <f t="shared" si="14"/>
        <v>0.5</v>
      </c>
      <c r="AI19" s="32">
        <f t="shared" si="14"/>
        <v>0.16666666666666666</v>
      </c>
      <c r="AJ19" s="32">
        <f t="shared" si="14"/>
        <v>0.16291451884327379</v>
      </c>
      <c r="AK19" s="32">
        <f t="shared" si="14"/>
        <v>6</v>
      </c>
      <c r="AL19" s="32">
        <f t="shared" si="14"/>
        <v>2</v>
      </c>
      <c r="AM19" s="32">
        <f t="shared" si="14"/>
        <v>20</v>
      </c>
      <c r="AN19" s="32">
        <f t="shared" si="14"/>
        <v>0.14249999999999999</v>
      </c>
      <c r="AO19" s="32">
        <f t="shared" si="14"/>
        <v>0.12916666666666665</v>
      </c>
      <c r="AP19" s="21">
        <v>15</v>
      </c>
      <c r="AQ19" s="23">
        <v>6.3799999999999996E-2</v>
      </c>
      <c r="AR19" s="23">
        <v>0.128</v>
      </c>
      <c r="AS19" s="23">
        <v>0.69240000000000002</v>
      </c>
      <c r="AT19" s="23">
        <v>1.7613000000000001</v>
      </c>
      <c r="AU19" s="23">
        <v>2.1448</v>
      </c>
    </row>
    <row r="20" spans="1:47" ht="13.5" thickBot="1" x14ac:dyDescent="0.35">
      <c r="B20" s="319" t="s">
        <v>213</v>
      </c>
      <c r="C20" s="320" t="s">
        <v>117</v>
      </c>
      <c r="D20" s="320" t="s">
        <v>139</v>
      </c>
      <c r="E20" s="321" t="s">
        <v>143</v>
      </c>
      <c r="F20" s="320" t="s">
        <v>115</v>
      </c>
      <c r="G20" s="320" t="s">
        <v>118</v>
      </c>
      <c r="H20" s="320" t="s">
        <v>77</v>
      </c>
      <c r="I20" s="322" t="s">
        <v>130</v>
      </c>
      <c r="J20" s="8">
        <f t="shared" si="15"/>
        <v>60</v>
      </c>
      <c r="K20" s="899">
        <f t="shared" si="20"/>
        <v>4.5184805705753193E-2</v>
      </c>
      <c r="L20" s="526">
        <f t="shared" si="21"/>
        <v>25.668449197860966</v>
      </c>
      <c r="M20" s="51">
        <f t="shared" si="22"/>
        <v>3.947573094109004E-2</v>
      </c>
      <c r="N20" s="530">
        <f t="shared" si="23"/>
        <v>431.33689839572196</v>
      </c>
      <c r="O20" s="526">
        <f t="shared" si="24"/>
        <v>60</v>
      </c>
      <c r="P20" s="8">
        <f t="shared" si="12"/>
        <v>3</v>
      </c>
      <c r="R20" s="46">
        <f t="shared" si="25"/>
        <v>7.2500000000000009E-2</v>
      </c>
      <c r="S20" s="3">
        <f t="shared" si="2"/>
        <v>267.31971008214697</v>
      </c>
      <c r="T20" s="3">
        <f t="shared" si="3"/>
        <v>30.676538697706793</v>
      </c>
      <c r="U20" s="3">
        <f t="shared" si="4"/>
        <v>30.994438781122231</v>
      </c>
      <c r="V20" s="3"/>
      <c r="W20" s="3">
        <f t="shared" si="5"/>
        <v>291.10582639714619</v>
      </c>
      <c r="X20" s="3">
        <f t="shared" si="6"/>
        <v>54.221165279429229</v>
      </c>
      <c r="Y20" s="3">
        <f t="shared" si="7"/>
        <v>27.110582639714615</v>
      </c>
      <c r="Z20" s="3"/>
      <c r="AA20" s="3">
        <f t="shared" si="8"/>
        <v>462.3305588585016</v>
      </c>
      <c r="AB20" s="3">
        <f t="shared" si="9"/>
        <v>147.44351961950053</v>
      </c>
      <c r="AC20" s="3">
        <f t="shared" si="10"/>
        <v>24.573919936583422</v>
      </c>
      <c r="AD20" s="3"/>
      <c r="AE20" s="557">
        <f t="shared" si="13"/>
        <v>2.5000000000000001E-3</v>
      </c>
      <c r="AF20" s="557">
        <f t="shared" si="11"/>
        <v>5.2562500000000014E-3</v>
      </c>
      <c r="AG20" s="32">
        <f t="shared" si="14"/>
        <v>1.0103629710818451</v>
      </c>
      <c r="AH20" s="32">
        <f t="shared" si="14"/>
        <v>0.5</v>
      </c>
      <c r="AI20" s="32">
        <f t="shared" si="14"/>
        <v>0.16666666666666666</v>
      </c>
      <c r="AJ20" s="32">
        <f t="shared" si="14"/>
        <v>0.16291451884327379</v>
      </c>
      <c r="AK20" s="32">
        <f t="shared" si="14"/>
        <v>6</v>
      </c>
      <c r="AL20" s="32">
        <f t="shared" si="14"/>
        <v>2</v>
      </c>
      <c r="AM20" s="32">
        <f t="shared" si="14"/>
        <v>20</v>
      </c>
      <c r="AN20" s="32">
        <f t="shared" si="14"/>
        <v>0.14249999999999999</v>
      </c>
      <c r="AO20" s="32">
        <f t="shared" si="14"/>
        <v>0.12916666666666665</v>
      </c>
      <c r="AP20" s="21">
        <v>16</v>
      </c>
      <c r="AQ20" s="23">
        <v>6.3799999999999996E-2</v>
      </c>
      <c r="AR20" s="23">
        <v>0.1278</v>
      </c>
      <c r="AS20" s="23">
        <v>0.69120000000000004</v>
      </c>
      <c r="AT20" s="23">
        <v>1.7531000000000001</v>
      </c>
      <c r="AU20" s="23">
        <v>2.1314000000000002</v>
      </c>
    </row>
    <row r="21" spans="1:47" ht="13.5" thickTop="1" x14ac:dyDescent="0.3">
      <c r="B21" s="146"/>
      <c r="C21" s="147" t="s">
        <v>138</v>
      </c>
      <c r="D21" s="147" t="s">
        <v>140</v>
      </c>
      <c r="E21" s="147" t="s">
        <v>210</v>
      </c>
      <c r="F21" s="430" t="s">
        <v>211</v>
      </c>
      <c r="G21" s="431"/>
      <c r="H21" s="432" t="s">
        <v>212</v>
      </c>
      <c r="I21" s="433"/>
      <c r="J21" s="8">
        <f t="shared" si="15"/>
        <v>63</v>
      </c>
      <c r="K21" s="899">
        <f t="shared" si="20"/>
        <v>4.4095855184409838E-2</v>
      </c>
      <c r="L21" s="526">
        <f t="shared" si="21"/>
        <v>24.161073825503358</v>
      </c>
      <c r="M21" s="51">
        <f t="shared" si="22"/>
        <v>4.0688518719112346E-2</v>
      </c>
      <c r="N21" s="530">
        <f t="shared" si="23"/>
        <v>446.32214765100673</v>
      </c>
      <c r="O21" s="526">
        <f t="shared" si="24"/>
        <v>63</v>
      </c>
      <c r="P21" s="8">
        <f t="shared" si="12"/>
        <v>3</v>
      </c>
      <c r="R21" s="46">
        <f t="shared" si="25"/>
        <v>7.5000000000000011E-2</v>
      </c>
      <c r="S21" s="3">
        <f t="shared" si="2"/>
        <v>251.10652908787287</v>
      </c>
      <c r="T21" s="3">
        <f t="shared" si="3"/>
        <v>28.665521160857125</v>
      </c>
      <c r="U21" s="3">
        <f t="shared" si="4"/>
        <v>28.962581127693106</v>
      </c>
      <c r="V21" s="3"/>
      <c r="W21" s="3">
        <f t="shared" si="5"/>
        <v>273.33333333333326</v>
      </c>
      <c r="X21" s="3">
        <f t="shared" si="6"/>
        <v>50.66666666666665</v>
      </c>
      <c r="Y21" s="3">
        <f t="shared" si="7"/>
        <v>25.333333333333325</v>
      </c>
      <c r="Z21" s="3"/>
      <c r="AA21" s="3">
        <f t="shared" si="8"/>
        <v>433.3333333333332</v>
      </c>
      <c r="AB21" s="3">
        <f t="shared" si="9"/>
        <v>137.77777777777774</v>
      </c>
      <c r="AC21" s="3">
        <f t="shared" si="10"/>
        <v>22.962962962962955</v>
      </c>
      <c r="AD21" s="3"/>
      <c r="AE21" s="557">
        <f t="shared" si="13"/>
        <v>2.5000000000000001E-3</v>
      </c>
      <c r="AF21" s="557">
        <f t="shared" si="11"/>
        <v>5.6250000000000015E-3</v>
      </c>
      <c r="AG21" s="32">
        <f t="shared" si="14"/>
        <v>1.0103629710818451</v>
      </c>
      <c r="AH21" s="32">
        <f t="shared" si="14"/>
        <v>0.5</v>
      </c>
      <c r="AI21" s="32">
        <f t="shared" si="14"/>
        <v>0.16666666666666666</v>
      </c>
      <c r="AJ21" s="32">
        <f t="shared" si="14"/>
        <v>0.16291451884327379</v>
      </c>
      <c r="AK21" s="32">
        <f t="shared" si="14"/>
        <v>6</v>
      </c>
      <c r="AL21" s="32">
        <f t="shared" si="14"/>
        <v>2</v>
      </c>
      <c r="AM21" s="32">
        <f t="shared" si="14"/>
        <v>20</v>
      </c>
      <c r="AN21" s="32">
        <f t="shared" si="14"/>
        <v>0.14249999999999999</v>
      </c>
      <c r="AO21" s="32">
        <f t="shared" si="14"/>
        <v>0.12916666666666665</v>
      </c>
      <c r="AP21" s="21">
        <v>17</v>
      </c>
      <c r="AQ21" s="23">
        <v>6.3700000000000007E-2</v>
      </c>
      <c r="AR21" s="23">
        <v>0.12770000000000001</v>
      </c>
      <c r="AS21" s="23">
        <v>0.69010000000000005</v>
      </c>
      <c r="AT21" s="23">
        <v>1.7459</v>
      </c>
      <c r="AU21" s="23">
        <v>2.1198999999999999</v>
      </c>
    </row>
    <row r="22" spans="1:47" ht="15.75" customHeight="1" thickBot="1" x14ac:dyDescent="0.35">
      <c r="A22" s="468">
        <v>3</v>
      </c>
      <c r="B22" s="434" t="s">
        <v>330</v>
      </c>
      <c r="C22" s="435"/>
      <c r="D22" s="435"/>
      <c r="E22" s="435"/>
      <c r="F22" s="435"/>
      <c r="G22" s="435"/>
      <c r="H22" s="437"/>
      <c r="I22" s="437"/>
      <c r="J22" s="8">
        <f t="shared" si="15"/>
        <v>66</v>
      </c>
      <c r="K22" s="899">
        <f t="shared" si="20"/>
        <v>4.3082021842766452E-2</v>
      </c>
      <c r="L22" s="526">
        <f t="shared" si="21"/>
        <v>22.936576889661165</v>
      </c>
      <c r="M22" s="51">
        <f t="shared" si="22"/>
        <v>4.1760500403364355E-2</v>
      </c>
      <c r="N22" s="530">
        <f t="shared" si="23"/>
        <v>461.87315377932231</v>
      </c>
      <c r="O22" s="526">
        <f t="shared" si="24"/>
        <v>66</v>
      </c>
      <c r="P22" s="8">
        <f t="shared" si="12"/>
        <v>3</v>
      </c>
      <c r="R22" s="46">
        <f t="shared" si="25"/>
        <v>7.7500000000000013E-2</v>
      </c>
      <c r="S22" s="3">
        <f t="shared" si="2"/>
        <v>236.43691589915255</v>
      </c>
      <c r="T22" s="3">
        <f t="shared" si="3"/>
        <v>26.845961545027485</v>
      </c>
      <c r="U22" s="3">
        <f t="shared" si="4"/>
        <v>27.12416546818293</v>
      </c>
      <c r="V22" s="3"/>
      <c r="W22" s="3">
        <f t="shared" si="5"/>
        <v>257.25286160249732</v>
      </c>
      <c r="X22" s="3">
        <f t="shared" si="6"/>
        <v>47.450572320499461</v>
      </c>
      <c r="Y22" s="3">
        <f t="shared" si="7"/>
        <v>23.72528616024973</v>
      </c>
      <c r="Z22" s="3"/>
      <c r="AA22" s="3">
        <f t="shared" si="8"/>
        <v>407.09677419354819</v>
      </c>
      <c r="AB22" s="3">
        <f t="shared" si="9"/>
        <v>129.03225806451607</v>
      </c>
      <c r="AC22" s="3">
        <f t="shared" si="10"/>
        <v>21.50537634408601</v>
      </c>
      <c r="AD22" s="3"/>
      <c r="AE22" s="557">
        <f t="shared" si="13"/>
        <v>2.5000000000000001E-3</v>
      </c>
      <c r="AF22" s="557">
        <f t="shared" si="11"/>
        <v>6.006250000000002E-3</v>
      </c>
      <c r="AG22" s="32">
        <f t="shared" si="14"/>
        <v>1.0103629710818451</v>
      </c>
      <c r="AH22" s="32">
        <f t="shared" si="14"/>
        <v>0.5</v>
      </c>
      <c r="AI22" s="32">
        <f t="shared" si="14"/>
        <v>0.16666666666666666</v>
      </c>
      <c r="AJ22" s="32">
        <f t="shared" si="14"/>
        <v>0.16291451884327379</v>
      </c>
      <c r="AK22" s="32">
        <f t="shared" si="14"/>
        <v>6</v>
      </c>
      <c r="AL22" s="32">
        <f t="shared" si="14"/>
        <v>2</v>
      </c>
      <c r="AM22" s="32">
        <f t="shared" si="14"/>
        <v>20</v>
      </c>
      <c r="AN22" s="32">
        <f t="shared" si="14"/>
        <v>0.14249999999999999</v>
      </c>
      <c r="AO22" s="32">
        <f t="shared" si="14"/>
        <v>0.12916666666666665</v>
      </c>
      <c r="AP22" s="21">
        <v>18</v>
      </c>
      <c r="AQ22" s="23">
        <v>6.3600000000000004E-2</v>
      </c>
      <c r="AR22" s="23">
        <v>0.12759999999999999</v>
      </c>
      <c r="AS22" s="23">
        <v>0.68920000000000003</v>
      </c>
      <c r="AT22" s="23">
        <v>1.7396</v>
      </c>
      <c r="AU22" s="23">
        <v>2.1097999999999999</v>
      </c>
    </row>
    <row r="23" spans="1:47" ht="16" thickBot="1" x14ac:dyDescent="0.4">
      <c r="B23" s="438" t="s">
        <v>3</v>
      </c>
      <c r="C23" s="158" t="s">
        <v>96</v>
      </c>
      <c r="D23" s="918" t="s">
        <v>294</v>
      </c>
      <c r="E23" s="158"/>
      <c r="F23" s="159" t="s">
        <v>61</v>
      </c>
      <c r="G23" s="158"/>
      <c r="H23" s="158" t="s">
        <v>54</v>
      </c>
      <c r="I23" s="905">
        <f>I15</f>
        <v>6</v>
      </c>
      <c r="J23" s="8">
        <f t="shared" si="15"/>
        <v>69</v>
      </c>
      <c r="K23" s="899">
        <f t="shared" si="20"/>
        <v>4.2135048580019215E-2</v>
      </c>
      <c r="L23" s="526">
        <f t="shared" si="21"/>
        <v>21.922160444797463</v>
      </c>
      <c r="M23" s="51">
        <f t="shared" si="22"/>
        <v>4.271577789481798E-2</v>
      </c>
      <c r="N23" s="530">
        <f t="shared" si="23"/>
        <v>477.84432088959494</v>
      </c>
      <c r="O23" s="526">
        <f t="shared" si="24"/>
        <v>69</v>
      </c>
      <c r="P23" s="8">
        <f t="shared" si="12"/>
        <v>3</v>
      </c>
      <c r="R23" s="46">
        <f t="shared" si="25"/>
        <v>8.0000000000000016E-2</v>
      </c>
      <c r="S23" s="3">
        <f t="shared" si="2"/>
        <v>223.12097283113829</v>
      </c>
      <c r="T23" s="3">
        <f t="shared" si="3"/>
        <v>25.194305707784583</v>
      </c>
      <c r="U23" s="3">
        <f t="shared" si="4"/>
        <v>25.455393569261521</v>
      </c>
      <c r="V23" s="3"/>
      <c r="W23" s="3">
        <f t="shared" si="5"/>
        <v>242.65624999999989</v>
      </c>
      <c r="X23" s="3">
        <f t="shared" si="6"/>
        <v>44.531249999999979</v>
      </c>
      <c r="Y23" s="3">
        <f t="shared" si="7"/>
        <v>22.265624999999989</v>
      </c>
      <c r="Z23" s="3"/>
      <c r="AA23" s="3">
        <f t="shared" si="8"/>
        <v>383.28124999999977</v>
      </c>
      <c r="AB23" s="3">
        <f t="shared" si="9"/>
        <v>121.09374999999993</v>
      </c>
      <c r="AC23" s="3">
        <f t="shared" si="10"/>
        <v>20.182291666666654</v>
      </c>
      <c r="AD23" s="3"/>
      <c r="AE23" s="557">
        <f t="shared" si="13"/>
        <v>2.5000000000000001E-3</v>
      </c>
      <c r="AF23" s="557">
        <f t="shared" si="11"/>
        <v>6.4000000000000029E-3</v>
      </c>
      <c r="AG23" s="32">
        <f t="shared" si="14"/>
        <v>1.0103629710818451</v>
      </c>
      <c r="AH23" s="32">
        <f t="shared" si="14"/>
        <v>0.5</v>
      </c>
      <c r="AI23" s="32">
        <f t="shared" si="14"/>
        <v>0.16666666666666666</v>
      </c>
      <c r="AJ23" s="32">
        <f t="shared" si="14"/>
        <v>0.16291451884327379</v>
      </c>
      <c r="AK23" s="32">
        <f t="shared" si="14"/>
        <v>6</v>
      </c>
      <c r="AL23" s="32">
        <f t="shared" si="14"/>
        <v>2</v>
      </c>
      <c r="AM23" s="32">
        <f t="shared" si="14"/>
        <v>20</v>
      </c>
      <c r="AN23" s="32">
        <f t="shared" si="14"/>
        <v>0.14249999999999999</v>
      </c>
      <c r="AO23" s="32">
        <f t="shared" si="14"/>
        <v>0.12916666666666665</v>
      </c>
      <c r="AP23" s="21">
        <v>19</v>
      </c>
      <c r="AQ23" s="23">
        <v>6.3600000000000004E-2</v>
      </c>
      <c r="AR23" s="23">
        <v>0.12740000000000001</v>
      </c>
      <c r="AS23" s="23">
        <v>0.68840000000000001</v>
      </c>
      <c r="AT23" s="23">
        <v>1.7341</v>
      </c>
      <c r="AU23" s="23">
        <v>2.1009000000000002</v>
      </c>
    </row>
    <row r="24" spans="1:47" ht="14.5" thickBot="1" x14ac:dyDescent="0.35">
      <c r="B24" s="438" t="s">
        <v>97</v>
      </c>
      <c r="C24" s="916">
        <f>(C25*F24)</f>
        <v>35.879629629629626</v>
      </c>
      <c r="D24" s="106">
        <f>(C3/SQRT(C24))</f>
        <v>5.8431100865781203E-2</v>
      </c>
      <c r="E24" s="162" t="s">
        <v>9</v>
      </c>
      <c r="F24" s="107">
        <f>1/(I23)</f>
        <v>0.16666666666666666</v>
      </c>
      <c r="G24" s="158" t="s">
        <v>62</v>
      </c>
      <c r="H24" s="158"/>
      <c r="I24" s="439"/>
      <c r="J24" s="8">
        <f t="shared" si="15"/>
        <v>72</v>
      </c>
      <c r="K24" s="899">
        <f t="shared" si="20"/>
        <v>4.1247895569215272E-2</v>
      </c>
      <c r="L24" s="526">
        <f t="shared" si="21"/>
        <v>21.068032187271399</v>
      </c>
      <c r="M24" s="51">
        <f t="shared" si="22"/>
        <v>4.3573054874671238E-2</v>
      </c>
      <c r="N24" s="530">
        <f t="shared" si="23"/>
        <v>494.1360643745428</v>
      </c>
      <c r="O24" s="526">
        <f t="shared" si="24"/>
        <v>72</v>
      </c>
      <c r="P24" s="8">
        <f t="shared" si="12"/>
        <v>3</v>
      </c>
      <c r="R24" s="46">
        <f t="shared" si="25"/>
        <v>8.2500000000000018E-2</v>
      </c>
      <c r="S24" s="3">
        <f t="shared" si="2"/>
        <v>210.99713147758087</v>
      </c>
      <c r="T24" s="3">
        <f t="shared" si="3"/>
        <v>23.690513356080267</v>
      </c>
      <c r="U24" s="3">
        <f t="shared" si="4"/>
        <v>23.936017460903393</v>
      </c>
      <c r="V24" s="3"/>
      <c r="W24" s="3">
        <f t="shared" si="5"/>
        <v>229.36639118457288</v>
      </c>
      <c r="X24" s="3">
        <f t="shared" si="6"/>
        <v>41.87327823691458</v>
      </c>
      <c r="Y24" s="3">
        <f t="shared" si="7"/>
        <v>20.93663911845729</v>
      </c>
      <c r="Z24" s="3"/>
      <c r="AA24" s="3">
        <f t="shared" si="8"/>
        <v>361.59779614325055</v>
      </c>
      <c r="AB24" s="3">
        <f t="shared" si="9"/>
        <v>113.86593204775018</v>
      </c>
      <c r="AC24" s="3">
        <f t="shared" si="10"/>
        <v>18.977655341291694</v>
      </c>
      <c r="AD24" s="3"/>
      <c r="AE24" s="557">
        <f t="shared" si="13"/>
        <v>2.5000000000000001E-3</v>
      </c>
      <c r="AF24" s="557">
        <f t="shared" si="11"/>
        <v>6.8062500000000033E-3</v>
      </c>
      <c r="AG24" s="32">
        <f t="shared" si="14"/>
        <v>1.0103629710818451</v>
      </c>
      <c r="AH24" s="32">
        <f t="shared" si="14"/>
        <v>0.5</v>
      </c>
      <c r="AI24" s="32">
        <f t="shared" si="14"/>
        <v>0.16666666666666666</v>
      </c>
      <c r="AJ24" s="32">
        <f t="shared" si="14"/>
        <v>0.16291451884327379</v>
      </c>
      <c r="AK24" s="32">
        <f t="shared" si="14"/>
        <v>6</v>
      </c>
      <c r="AL24" s="32">
        <f t="shared" si="14"/>
        <v>2</v>
      </c>
      <c r="AM24" s="32">
        <f t="shared" si="14"/>
        <v>20</v>
      </c>
      <c r="AN24" s="32">
        <f t="shared" si="14"/>
        <v>0.14249999999999999</v>
      </c>
      <c r="AO24" s="32">
        <f t="shared" si="14"/>
        <v>0.12916666666666665</v>
      </c>
      <c r="AP24" s="21">
        <v>20</v>
      </c>
      <c r="AQ24" s="23">
        <v>6.3500000000000001E-2</v>
      </c>
      <c r="AR24" s="23">
        <v>0.12740000000000001</v>
      </c>
      <c r="AS24" s="23">
        <v>0.68759999999999999</v>
      </c>
      <c r="AT24" s="23">
        <v>1.7291000000000001</v>
      </c>
      <c r="AU24" s="23">
        <v>2.093</v>
      </c>
    </row>
    <row r="25" spans="1:47" ht="15" thickTop="1" thickBot="1" x14ac:dyDescent="0.35">
      <c r="B25" s="438" t="s">
        <v>98</v>
      </c>
      <c r="C25" s="915">
        <f>((C3*C3)+(C5*C5*F24))/(D9*D9*F24)</f>
        <v>215.27777777777777</v>
      </c>
      <c r="D25" s="106">
        <f>(C5/SQRT(C25))</f>
        <v>1.3631084021929557E-2</v>
      </c>
      <c r="E25" s="163" t="s">
        <v>13</v>
      </c>
      <c r="F25" s="159" t="s">
        <v>3</v>
      </c>
      <c r="G25" s="159" t="s">
        <v>3</v>
      </c>
      <c r="H25" s="159" t="s">
        <v>3</v>
      </c>
      <c r="I25" s="439"/>
      <c r="J25" s="10" t="s">
        <v>3</v>
      </c>
      <c r="K25" s="10" t="s">
        <v>3</v>
      </c>
      <c r="L25" s="525" t="s">
        <v>84</v>
      </c>
      <c r="M25" s="325">
        <f>C11*E3+C12*E5</f>
        <v>361.10395169980148</v>
      </c>
      <c r="N25" s="523" t="s">
        <v>3</v>
      </c>
      <c r="O25" s="523" t="s">
        <v>3</v>
      </c>
      <c r="R25" s="46">
        <f t="shared" si="25"/>
        <v>8.500000000000002E-2</v>
      </c>
      <c r="S25" s="3">
        <f t="shared" si="2"/>
        <v>199.92722852862076</v>
      </c>
      <c r="T25" s="3">
        <f t="shared" si="3"/>
        <v>22.317447270563505</v>
      </c>
      <c r="U25" s="3">
        <f t="shared" si="4"/>
        <v>22.54872233124896</v>
      </c>
      <c r="V25" s="3"/>
      <c r="W25" s="3">
        <f t="shared" si="5"/>
        <v>217.23183391003448</v>
      </c>
      <c r="X25" s="3">
        <f t="shared" si="6"/>
        <v>39.446366782006898</v>
      </c>
      <c r="Y25" s="3">
        <f t="shared" si="7"/>
        <v>19.723183391003449</v>
      </c>
      <c r="Z25" s="3"/>
      <c r="AA25" s="3">
        <f t="shared" si="8"/>
        <v>341.79930795847736</v>
      </c>
      <c r="AB25" s="3">
        <f t="shared" si="9"/>
        <v>107.26643598615911</v>
      </c>
      <c r="AC25" s="3">
        <f t="shared" si="10"/>
        <v>17.877739331026518</v>
      </c>
      <c r="AD25" s="3"/>
      <c r="AE25" s="557">
        <f t="shared" si="13"/>
        <v>2.5000000000000001E-3</v>
      </c>
      <c r="AF25" s="557">
        <f t="shared" si="11"/>
        <v>7.2250000000000031E-3</v>
      </c>
      <c r="AG25" s="32">
        <f t="shared" si="14"/>
        <v>1.0103629710818451</v>
      </c>
      <c r="AH25" s="32">
        <f t="shared" si="14"/>
        <v>0.5</v>
      </c>
      <c r="AI25" s="32">
        <f t="shared" si="14"/>
        <v>0.16666666666666666</v>
      </c>
      <c r="AJ25" s="32">
        <f t="shared" si="14"/>
        <v>0.16291451884327379</v>
      </c>
      <c r="AK25" s="32">
        <f t="shared" si="14"/>
        <v>6</v>
      </c>
      <c r="AL25" s="32">
        <f t="shared" si="14"/>
        <v>2</v>
      </c>
      <c r="AM25" s="32">
        <f t="shared" si="14"/>
        <v>20</v>
      </c>
      <c r="AN25" s="32">
        <f t="shared" si="14"/>
        <v>0.14249999999999999</v>
      </c>
      <c r="AO25" s="32">
        <f t="shared" si="14"/>
        <v>0.12916666666666665</v>
      </c>
      <c r="AP25" s="21">
        <v>21</v>
      </c>
      <c r="AQ25" s="23">
        <v>6.3500000000000001E-2</v>
      </c>
      <c r="AR25" s="23">
        <v>0.1273</v>
      </c>
      <c r="AS25" s="23">
        <v>0.68700000000000006</v>
      </c>
      <c r="AT25" s="23">
        <v>1.7246999999999999</v>
      </c>
      <c r="AU25" s="23">
        <v>2.0859999999999999</v>
      </c>
    </row>
    <row r="26" spans="1:47" ht="14.5" thickBot="1" x14ac:dyDescent="0.35">
      <c r="B26" s="438" t="s">
        <v>3</v>
      </c>
      <c r="C26" s="161" t="s">
        <v>3</v>
      </c>
      <c r="D26" s="914">
        <f>SQRT((D24*D24)+(D25*D25))</f>
        <v>0.06</v>
      </c>
      <c r="E26" s="164" t="s">
        <v>58</v>
      </c>
      <c r="F26" s="159" t="s">
        <v>3</v>
      </c>
      <c r="G26" s="537"/>
      <c r="H26" s="160" t="s">
        <v>103</v>
      </c>
      <c r="I26" s="440">
        <f>(C27/C24)</f>
        <v>18.557419354838711</v>
      </c>
      <c r="J26" s="10" t="s">
        <v>3</v>
      </c>
      <c r="L26" s="525" t="s">
        <v>85</v>
      </c>
      <c r="M26" s="326">
        <f>D15*E3+D16*E5</f>
        <v>395.83333333333326</v>
      </c>
      <c r="N26" s="234"/>
      <c r="O26" s="234"/>
      <c r="P26" s="538"/>
      <c r="R26" s="46">
        <f t="shared" si="25"/>
        <v>8.7500000000000022E-2</v>
      </c>
      <c r="S26" s="3">
        <f t="shared" si="2"/>
        <v>189.79255198292699</v>
      </c>
      <c r="T26" s="3">
        <f t="shared" si="3"/>
        <v>21.060382893690946</v>
      </c>
      <c r="U26" s="3">
        <f t="shared" si="4"/>
        <v>21.278631032590852</v>
      </c>
      <c r="V26" s="3"/>
      <c r="W26" s="3">
        <f t="shared" si="5"/>
        <v>206.12244897959172</v>
      </c>
      <c r="X26" s="3">
        <f t="shared" si="6"/>
        <v>37.224489795918345</v>
      </c>
      <c r="Y26" s="3">
        <f t="shared" si="7"/>
        <v>18.612244897959172</v>
      </c>
      <c r="Z26" s="3"/>
      <c r="AA26" s="3">
        <f t="shared" si="8"/>
        <v>323.67346938775489</v>
      </c>
      <c r="AB26" s="3">
        <f t="shared" si="9"/>
        <v>101.2244897959183</v>
      </c>
      <c r="AC26" s="3">
        <f t="shared" si="10"/>
        <v>16.870748299319715</v>
      </c>
      <c r="AD26" s="3"/>
      <c r="AE26" s="557">
        <f t="shared" si="13"/>
        <v>2.5000000000000001E-3</v>
      </c>
      <c r="AF26" s="557">
        <f t="shared" si="11"/>
        <v>7.6562500000000042E-3</v>
      </c>
      <c r="AG26" s="32">
        <f t="shared" si="14"/>
        <v>1.0103629710818451</v>
      </c>
      <c r="AH26" s="32">
        <f t="shared" si="14"/>
        <v>0.5</v>
      </c>
      <c r="AI26" s="32">
        <f t="shared" si="14"/>
        <v>0.16666666666666666</v>
      </c>
      <c r="AJ26" s="32">
        <f t="shared" si="14"/>
        <v>0.16291451884327379</v>
      </c>
      <c r="AK26" s="32">
        <f t="shared" si="14"/>
        <v>6</v>
      </c>
      <c r="AL26" s="32">
        <f t="shared" si="14"/>
        <v>2</v>
      </c>
      <c r="AM26" s="32">
        <f t="shared" si="14"/>
        <v>20</v>
      </c>
      <c r="AN26" s="32">
        <f t="shared" si="14"/>
        <v>0.14249999999999999</v>
      </c>
      <c r="AO26" s="32">
        <f t="shared" si="14"/>
        <v>0.12916666666666665</v>
      </c>
      <c r="AP26" s="21">
        <v>22</v>
      </c>
      <c r="AQ26" s="23">
        <v>6.3500000000000001E-2</v>
      </c>
      <c r="AR26" s="23">
        <v>0.12720000000000001</v>
      </c>
      <c r="AS26" s="23">
        <v>0.68640000000000001</v>
      </c>
      <c r="AT26" s="23">
        <v>1.7206999999999999</v>
      </c>
      <c r="AU26" s="23">
        <v>2.0796000000000001</v>
      </c>
    </row>
    <row r="27" spans="1:47" x14ac:dyDescent="0.25">
      <c r="B27" s="593" t="s">
        <v>267</v>
      </c>
      <c r="C27" s="441">
        <f>(C24*E3)+(C25*E5)+H3+H4+H5</f>
        <v>665.83333333333326</v>
      </c>
      <c r="D27" s="442" t="s">
        <v>3</v>
      </c>
      <c r="E27" s="443" t="s">
        <v>63</v>
      </c>
      <c r="F27" s="444">
        <f>(C27/G11)</f>
        <v>1.7471173688007708</v>
      </c>
      <c r="G27" s="442"/>
      <c r="H27" s="445" t="s">
        <v>95</v>
      </c>
      <c r="I27" s="446">
        <f>(G11/C27)</f>
        <v>0.57237139178943908</v>
      </c>
      <c r="J27" s="10" t="s">
        <v>3</v>
      </c>
      <c r="K27" s="10" t="s">
        <v>3</v>
      </c>
      <c r="L27" s="525" t="s">
        <v>86</v>
      </c>
      <c r="M27" s="327">
        <f>(M25/M26)</f>
        <v>0.91226261482055127</v>
      </c>
      <c r="N27" s="234"/>
      <c r="O27" s="234"/>
      <c r="P27" s="538"/>
      <c r="R27" s="46">
        <f>R26+AE27</f>
        <v>9.0000000000000024E-2</v>
      </c>
      <c r="S27" s="3">
        <f t="shared" si="2"/>
        <v>180.49064519991168</v>
      </c>
      <c r="T27" s="3">
        <f t="shared" si="3"/>
        <v>19.906611917261888</v>
      </c>
      <c r="U27" s="3">
        <f t="shared" si="4"/>
        <v>20.112903560897987</v>
      </c>
      <c r="V27" s="3"/>
      <c r="W27" s="3">
        <f t="shared" si="5"/>
        <v>195.92592592592581</v>
      </c>
      <c r="X27" s="3">
        <f t="shared" si="6"/>
        <v>35.185185185185162</v>
      </c>
      <c r="Y27" s="3">
        <f t="shared" si="7"/>
        <v>17.592592592592581</v>
      </c>
      <c r="Z27" s="3"/>
      <c r="AA27" s="3">
        <f t="shared" si="8"/>
        <v>307.03703703703684</v>
      </c>
      <c r="AB27" s="3">
        <f t="shared" si="9"/>
        <v>95.679012345678956</v>
      </c>
      <c r="AC27" s="3">
        <f t="shared" si="10"/>
        <v>15.946502057613159</v>
      </c>
      <c r="AD27" s="3"/>
      <c r="AE27" s="557">
        <f t="shared" si="13"/>
        <v>2.5000000000000001E-3</v>
      </c>
      <c r="AF27" s="557">
        <f t="shared" si="11"/>
        <v>8.1000000000000048E-3</v>
      </c>
      <c r="AG27" s="32">
        <f t="shared" si="14"/>
        <v>1.0103629710818451</v>
      </c>
      <c r="AH27" s="32">
        <f t="shared" si="14"/>
        <v>0.5</v>
      </c>
      <c r="AI27" s="32">
        <f t="shared" si="14"/>
        <v>0.16666666666666666</v>
      </c>
      <c r="AJ27" s="32">
        <f t="shared" si="14"/>
        <v>0.16291451884327379</v>
      </c>
      <c r="AK27" s="32">
        <f t="shared" si="14"/>
        <v>6</v>
      </c>
      <c r="AL27" s="32">
        <f t="shared" si="14"/>
        <v>2</v>
      </c>
      <c r="AM27" s="32">
        <f t="shared" si="14"/>
        <v>20</v>
      </c>
      <c r="AN27" s="32">
        <f t="shared" si="14"/>
        <v>0.14249999999999999</v>
      </c>
      <c r="AO27" s="32">
        <f t="shared" si="14"/>
        <v>0.12916666666666665</v>
      </c>
      <c r="AP27" s="21">
        <v>23</v>
      </c>
      <c r="AQ27" s="23">
        <v>6.3399999999999998E-2</v>
      </c>
      <c r="AR27" s="23">
        <v>0.12709999999999999</v>
      </c>
      <c r="AS27" s="23">
        <v>0.68579999999999997</v>
      </c>
      <c r="AT27" s="23">
        <v>1.7171000000000001</v>
      </c>
      <c r="AU27" s="23">
        <v>2.0739000000000001</v>
      </c>
    </row>
    <row r="28" spans="1:47" ht="13" thickBot="1" x14ac:dyDescent="0.3">
      <c r="B28" s="10" t="s">
        <v>3</v>
      </c>
      <c r="D28" s="11" t="s">
        <v>3</v>
      </c>
      <c r="F28" s="10" t="s">
        <v>3</v>
      </c>
      <c r="H28" s="10" t="s">
        <v>3</v>
      </c>
      <c r="I28" s="10" t="s">
        <v>3</v>
      </c>
      <c r="J28" s="10" t="s">
        <v>3</v>
      </c>
      <c r="K28" s="10" t="s">
        <v>3</v>
      </c>
      <c r="L28" s="525" t="s">
        <v>87</v>
      </c>
      <c r="M28" s="327">
        <f>G11/G92</f>
        <v>0.91648244897747866</v>
      </c>
      <c r="N28" s="234"/>
      <c r="O28" s="234"/>
      <c r="P28" s="538"/>
      <c r="R28" s="3" t="s">
        <v>64</v>
      </c>
      <c r="S28" s="3" t="s">
        <v>64</v>
      </c>
      <c r="T28" s="3" t="s">
        <v>64</v>
      </c>
      <c r="U28" s="3" t="s">
        <v>64</v>
      </c>
      <c r="V28" s="3" t="s">
        <v>64</v>
      </c>
      <c r="W28" s="3" t="s">
        <v>64</v>
      </c>
      <c r="X28" s="3" t="s">
        <v>64</v>
      </c>
      <c r="Y28" s="3" t="s">
        <v>64</v>
      </c>
      <c r="Z28" s="3" t="s">
        <v>64</v>
      </c>
      <c r="AA28" s="3" t="s">
        <v>64</v>
      </c>
      <c r="AB28" s="3" t="s">
        <v>64</v>
      </c>
      <c r="AC28" s="3" t="s">
        <v>64</v>
      </c>
      <c r="AD28" s="3" t="s">
        <v>64</v>
      </c>
      <c r="AE28" s="557" t="s">
        <v>64</v>
      </c>
      <c r="AF28" s="557"/>
      <c r="AG28" s="32"/>
      <c r="AH28" s="32"/>
      <c r="AI28" s="32"/>
      <c r="AJ28" s="32"/>
      <c r="AK28" s="32"/>
      <c r="AL28" s="32"/>
      <c r="AM28" s="32"/>
      <c r="AN28" s="32"/>
      <c r="AO28" s="32"/>
      <c r="AP28" s="21">
        <v>24</v>
      </c>
      <c r="AQ28" s="23">
        <v>6.3399999999999998E-2</v>
      </c>
      <c r="AR28" s="23">
        <v>0.12709999999999999</v>
      </c>
      <c r="AS28" s="23">
        <v>0.68530000000000002</v>
      </c>
      <c r="AT28" s="23">
        <v>1.7139</v>
      </c>
      <c r="AU28" s="23">
        <v>2.0687000000000002</v>
      </c>
    </row>
    <row r="29" spans="1:47" ht="13.5" thickBot="1" x14ac:dyDescent="0.35">
      <c r="A29" s="468">
        <v>4</v>
      </c>
      <c r="B29" s="597" t="s">
        <v>268</v>
      </c>
      <c r="C29" s="598"/>
      <c r="D29" s="925"/>
      <c r="E29" s="926"/>
      <c r="F29" s="927" t="s">
        <v>270</v>
      </c>
      <c r="G29" s="928"/>
      <c r="I29" s="140" t="s">
        <v>269</v>
      </c>
      <c r="J29" s="141"/>
      <c r="K29" s="599" t="s">
        <v>134</v>
      </c>
      <c r="L29" s="525" t="s">
        <v>35</v>
      </c>
      <c r="M29" s="328">
        <f>+F123</f>
        <v>5.9686681931566607E-2</v>
      </c>
      <c r="N29" s="234"/>
      <c r="O29" s="234"/>
      <c r="P29" s="538"/>
      <c r="R29" s="28" t="s">
        <v>65</v>
      </c>
      <c r="S29" s="12"/>
      <c r="T29" s="12"/>
      <c r="U29" s="12"/>
      <c r="V29" s="11"/>
      <c r="W29" s="11"/>
      <c r="X29" s="11"/>
      <c r="Y29" s="11"/>
      <c r="Z29" s="11"/>
      <c r="AA29" s="11"/>
      <c r="AB29" s="11"/>
      <c r="AC29" s="11"/>
      <c r="AD29" s="11"/>
      <c r="AE29" s="557"/>
      <c r="AF29" s="557"/>
      <c r="AG29" s="32"/>
      <c r="AH29" s="32"/>
      <c r="AI29" s="32"/>
      <c r="AJ29" s="32"/>
      <c r="AK29" s="32"/>
      <c r="AL29" s="32"/>
      <c r="AM29" s="32"/>
      <c r="AN29" s="32"/>
      <c r="AO29" s="32"/>
      <c r="AP29" s="21">
        <v>25</v>
      </c>
      <c r="AQ29" s="23">
        <v>6.3399999999999998E-2</v>
      </c>
      <c r="AR29" s="23">
        <v>0.127</v>
      </c>
      <c r="AS29" s="23">
        <v>0.68479999999999996</v>
      </c>
      <c r="AT29" s="23">
        <v>1.7109000000000001</v>
      </c>
      <c r="AU29" s="23">
        <v>2.0638999999999998</v>
      </c>
    </row>
    <row r="30" spans="1:47" ht="16" thickTop="1" x14ac:dyDescent="0.35">
      <c r="B30" s="119" t="s">
        <v>182</v>
      </c>
      <c r="C30" s="903">
        <v>0.75</v>
      </c>
      <c r="D30" s="929" t="s">
        <v>293</v>
      </c>
      <c r="E30" s="1257">
        <v>0.06</v>
      </c>
      <c r="F30" s="934" t="s">
        <v>67</v>
      </c>
      <c r="G30" s="936" t="s">
        <v>119</v>
      </c>
      <c r="I30" s="142" t="s">
        <v>295</v>
      </c>
      <c r="J30" s="518">
        <f>E11</f>
        <v>5.2028271718295646E-2</v>
      </c>
      <c r="K30" s="520">
        <f>C11</f>
        <v>45.254033012020493</v>
      </c>
      <c r="L30" s="234"/>
      <c r="M30" s="538"/>
      <c r="N30" s="234"/>
      <c r="O30" s="234"/>
      <c r="P30" s="538"/>
      <c r="R30" s="13" t="str">
        <f t="shared" ref="R30:R46" si="26">R1</f>
        <v>Other SE%</v>
      </c>
      <c r="S30" s="14"/>
      <c r="T30" s="15" t="str">
        <f t="shared" ref="T30:T46" si="27">T1</f>
        <v>Start @</v>
      </c>
      <c r="U30" s="27">
        <v>7</v>
      </c>
      <c r="W30" s="16" t="str">
        <f t="shared" ref="W30:X46" si="28">W1</f>
        <v>Increment</v>
      </c>
      <c r="X30" s="559">
        <f t="shared" si="28"/>
        <v>2.5000000000000001E-3</v>
      </c>
      <c r="AP30" s="21">
        <v>26</v>
      </c>
      <c r="AQ30" s="23">
        <v>6.3299999999999995E-2</v>
      </c>
      <c r="AR30" s="23">
        <v>0.12690000000000001</v>
      </c>
      <c r="AS30" s="23">
        <v>0.68440000000000001</v>
      </c>
      <c r="AT30" s="23">
        <v>1.7081</v>
      </c>
      <c r="AU30" s="23">
        <v>2.0594999999999999</v>
      </c>
    </row>
    <row r="31" spans="1:47" ht="16" thickBot="1" x14ac:dyDescent="0.4">
      <c r="B31" s="119" t="s">
        <v>68</v>
      </c>
      <c r="C31" s="904">
        <v>123</v>
      </c>
      <c r="D31" s="930" t="s">
        <v>105</v>
      </c>
      <c r="E31" s="1258">
        <f>IF(E30&gt;0,(E30*C32),"")</f>
        <v>6.9351157864373167E-2</v>
      </c>
      <c r="F31" s="933">
        <v>0.05</v>
      </c>
      <c r="G31" s="138">
        <f>IF(E30&gt;0,TINV(0.95,$C$31-1)*E30,"")</f>
        <v>3.77015482710734E-3</v>
      </c>
      <c r="I31" s="142" t="s">
        <v>175</v>
      </c>
      <c r="J31" s="518">
        <f>E12</f>
        <v>2.9884091788227353E-2</v>
      </c>
      <c r="K31" s="521">
        <f>C12</f>
        <v>44.789876813839271</v>
      </c>
      <c r="L31" s="234"/>
      <c r="M31" s="538"/>
      <c r="N31" s="234"/>
      <c r="O31" s="234"/>
      <c r="P31" s="538"/>
      <c r="R31" s="17" t="str">
        <f t="shared" si="26"/>
        <v>Options</v>
      </c>
      <c r="S31" s="18"/>
      <c r="T31" s="9" t="str">
        <f t="shared" si="27"/>
        <v>Optimal</v>
      </c>
      <c r="U31" s="12"/>
      <c r="V31" s="19" t="str">
        <f>V2</f>
        <v xml:space="preserve"> </v>
      </c>
      <c r="W31" s="454" t="str">
        <f t="shared" si="28"/>
        <v xml:space="preserve"> </v>
      </c>
      <c r="X31" s="453" t="str">
        <f t="shared" si="28"/>
        <v>Other Options</v>
      </c>
      <c r="Y31" s="167"/>
      <c r="Z31" s="11"/>
      <c r="AB31" s="9" t="str">
        <f>AB2</f>
        <v>Full Measure</v>
      </c>
      <c r="AC31" s="11"/>
      <c r="AP31" s="21">
        <v>27</v>
      </c>
      <c r="AQ31" s="23">
        <v>6.3299999999999995E-2</v>
      </c>
      <c r="AR31" s="23">
        <v>0.12690000000000001</v>
      </c>
      <c r="AS31" s="23">
        <v>0.68400000000000005</v>
      </c>
      <c r="AT31" s="23">
        <v>1.7056</v>
      </c>
      <c r="AU31" s="23">
        <v>2.0554999999999999</v>
      </c>
    </row>
    <row r="32" spans="1:47" ht="14.5" thickBot="1" x14ac:dyDescent="0.35">
      <c r="B32" s="119" t="s">
        <v>101</v>
      </c>
      <c r="C32" s="917">
        <f>TINV(1-C30,C31-1)</f>
        <v>1.155852631072886</v>
      </c>
      <c r="D32" s="931"/>
      <c r="E32" s="932"/>
      <c r="F32" s="933">
        <v>0.5</v>
      </c>
      <c r="G32" s="138">
        <f>IF(E30&gt;0,TINV(0.5,$C$31-1)*E30,"")</f>
        <v>4.0590361791624834E-2</v>
      </c>
      <c r="I32" s="142" t="s">
        <v>176</v>
      </c>
      <c r="J32" s="519">
        <f>D9</f>
        <v>0.06</v>
      </c>
      <c r="L32" s="234"/>
      <c r="M32" s="538"/>
      <c r="N32" s="234"/>
      <c r="O32" s="234"/>
      <c r="P32" s="538"/>
      <c r="R32" s="15" t="str">
        <f t="shared" si="26"/>
        <v>SE%</v>
      </c>
      <c r="S32" s="9" t="str">
        <f t="shared" ref="S32:S46" si="29">S3</f>
        <v>COST</v>
      </c>
      <c r="T32" s="9" t="str">
        <f t="shared" si="27"/>
        <v>n*BAR</v>
      </c>
      <c r="U32" s="9" t="str">
        <f t="shared" ref="U32:U46" si="30">U3</f>
        <v>nTC</v>
      </c>
      <c r="V32" s="11"/>
      <c r="W32" s="9" t="str">
        <f t="shared" si="28"/>
        <v>COST</v>
      </c>
      <c r="X32" s="9" t="str">
        <f t="shared" si="28"/>
        <v>n*BAR</v>
      </c>
      <c r="Y32" s="9" t="str">
        <f t="shared" ref="Y32:Y46" si="31">Y3</f>
        <v>nTC</v>
      </c>
      <c r="Z32" s="11"/>
      <c r="AA32" s="9" t="str">
        <f t="shared" ref="AA32:AC46" si="32">AA3</f>
        <v>COST</v>
      </c>
      <c r="AB32" s="9" t="str">
        <f>AB3</f>
        <v>n*BAR</v>
      </c>
      <c r="AC32" s="9" t="str">
        <f>AC3</f>
        <v>nTC</v>
      </c>
      <c r="AP32" s="21">
        <v>28</v>
      </c>
      <c r="AQ32" s="23">
        <v>6.3299999999999995E-2</v>
      </c>
      <c r="AR32" s="23">
        <v>0.1268</v>
      </c>
      <c r="AS32" s="23">
        <v>0.68369999999999997</v>
      </c>
      <c r="AT32" s="23">
        <v>1.7033</v>
      </c>
      <c r="AU32" s="23">
        <v>2.0518000000000001</v>
      </c>
    </row>
    <row r="33" spans="1:47" ht="13.5" thickBot="1" x14ac:dyDescent="0.35">
      <c r="B33" s="59"/>
      <c r="C33" s="60" t="s">
        <v>3</v>
      </c>
      <c r="D33" s="595" t="s">
        <v>129</v>
      </c>
      <c r="E33" s="596"/>
      <c r="F33" s="935">
        <v>0.95</v>
      </c>
      <c r="G33" s="139">
        <f>IF(E30&gt;0,TINV(0.05,$C$31-1)*E30,"")</f>
        <v>0.11877599270919841</v>
      </c>
      <c r="I33" s="143"/>
      <c r="J33" s="144"/>
      <c r="L33" s="234"/>
      <c r="M33" s="538"/>
      <c r="N33" s="234"/>
      <c r="O33" s="234"/>
      <c r="P33" s="538"/>
      <c r="R33" s="26">
        <f t="shared" si="26"/>
        <v>3.2499999999999973E-2</v>
      </c>
      <c r="S33" s="11">
        <f t="shared" si="29"/>
        <v>1250.7448294620476</v>
      </c>
      <c r="T33" s="11">
        <f t="shared" si="27"/>
        <v>152.65662156669507</v>
      </c>
      <c r="U33" s="11">
        <f t="shared" si="30"/>
        <v>154.23859772144291</v>
      </c>
      <c r="V33" s="11"/>
      <c r="W33" s="11">
        <f t="shared" si="28"/>
        <v>1369.112426035505</v>
      </c>
      <c r="X33" s="11">
        <f t="shared" si="28"/>
        <v>269.82248520710101</v>
      </c>
      <c r="Y33" s="11">
        <f t="shared" si="31"/>
        <v>134.91124260355051</v>
      </c>
      <c r="Z33" s="11"/>
      <c r="AA33" s="11">
        <f t="shared" si="32"/>
        <v>2221.1834319526661</v>
      </c>
      <c r="AB33" s="11">
        <f>AB4</f>
        <v>733.72781065088873</v>
      </c>
      <c r="AC33" s="11">
        <f>AC4</f>
        <v>122.28796844181478</v>
      </c>
      <c r="AP33" s="21">
        <v>29</v>
      </c>
      <c r="AQ33" s="23">
        <v>6.3299999999999995E-2</v>
      </c>
      <c r="AR33" s="23">
        <v>0.1268</v>
      </c>
      <c r="AS33" s="23">
        <v>0.68340000000000001</v>
      </c>
      <c r="AT33" s="23">
        <v>1.7011000000000001</v>
      </c>
      <c r="AU33" s="23">
        <v>2.0484</v>
      </c>
    </row>
    <row r="34" spans="1:47" ht="13.5" thickBot="1" x14ac:dyDescent="0.35">
      <c r="F34" s="602"/>
      <c r="L34" s="234"/>
      <c r="M34" s="538"/>
      <c r="N34" s="234"/>
      <c r="O34" s="234"/>
      <c r="P34" s="538"/>
      <c r="R34" s="26">
        <f t="shared" si="26"/>
        <v>3.4999999999999976E-2</v>
      </c>
      <c r="S34" s="11">
        <f t="shared" si="29"/>
        <v>1081.2034498932958</v>
      </c>
      <c r="T34" s="11">
        <f t="shared" si="27"/>
        <v>131.62739308556866</v>
      </c>
      <c r="U34" s="11">
        <f t="shared" si="30"/>
        <v>132.99144395369308</v>
      </c>
      <c r="V34" s="11"/>
      <c r="W34" s="11">
        <f t="shared" si="28"/>
        <v>1183.2653061224505</v>
      </c>
      <c r="X34" s="11">
        <f t="shared" si="28"/>
        <v>232.6530612244901</v>
      </c>
      <c r="Y34" s="11">
        <f t="shared" si="31"/>
        <v>116.32653061224505</v>
      </c>
      <c r="Z34" s="11"/>
      <c r="AA34" s="11">
        <f t="shared" si="32"/>
        <v>1917.9591836734721</v>
      </c>
      <c r="AB34" s="11">
        <f t="shared" si="32"/>
        <v>632.65306122449067</v>
      </c>
      <c r="AC34" s="11">
        <f t="shared" si="32"/>
        <v>105.44217687074844</v>
      </c>
      <c r="AP34" s="21">
        <v>30</v>
      </c>
      <c r="AQ34" s="23">
        <v>6.3299999999999995E-2</v>
      </c>
      <c r="AR34" s="23">
        <v>0.1268</v>
      </c>
      <c r="AS34" s="23">
        <v>0.68300000000000005</v>
      </c>
      <c r="AT34" s="23">
        <v>1.6991000000000001</v>
      </c>
      <c r="AU34" s="23">
        <v>2.0451999999999999</v>
      </c>
    </row>
    <row r="35" spans="1:47" ht="13.5" thickBot="1" x14ac:dyDescent="0.35">
      <c r="A35" s="468" t="s">
        <v>245</v>
      </c>
      <c r="B35" s="79"/>
      <c r="C35" s="80"/>
      <c r="D35" s="80"/>
      <c r="E35" s="81" t="s">
        <v>248</v>
      </c>
      <c r="F35" s="80"/>
      <c r="G35" s="80"/>
      <c r="H35" s="80"/>
      <c r="I35" s="80"/>
      <c r="J35" s="82"/>
      <c r="L35" s="234"/>
      <c r="M35" s="538"/>
      <c r="N35" s="234"/>
      <c r="O35" s="234"/>
      <c r="P35" s="538"/>
      <c r="R35" s="26">
        <f t="shared" si="26"/>
        <v>3.7499999999999978E-2</v>
      </c>
      <c r="S35" s="11">
        <f t="shared" si="29"/>
        <v>944.42611635149308</v>
      </c>
      <c r="T35" s="11">
        <f t="shared" si="27"/>
        <v>114.66208464342868</v>
      </c>
      <c r="U35" s="11">
        <f t="shared" si="30"/>
        <v>115.85032451077262</v>
      </c>
      <c r="V35" s="11"/>
      <c r="W35" s="11">
        <f t="shared" si="28"/>
        <v>1033.3333333333344</v>
      </c>
      <c r="X35" s="11">
        <f t="shared" si="28"/>
        <v>202.66666666666688</v>
      </c>
      <c r="Y35" s="11">
        <f t="shared" si="31"/>
        <v>101.33333333333344</v>
      </c>
      <c r="Z35" s="11"/>
      <c r="AA35" s="11">
        <f t="shared" si="32"/>
        <v>1673.3333333333348</v>
      </c>
      <c r="AB35" s="11">
        <f t="shared" si="32"/>
        <v>551.11111111111165</v>
      </c>
      <c r="AC35" s="11">
        <f t="shared" si="32"/>
        <v>91.851851851851933</v>
      </c>
      <c r="AP35" s="21">
        <v>31</v>
      </c>
      <c r="AQ35" s="23">
        <v>6.3200000000000006E-2</v>
      </c>
      <c r="AR35" s="23">
        <v>0.12670000000000001</v>
      </c>
      <c r="AS35" s="23">
        <v>0.68279999999999996</v>
      </c>
      <c r="AT35" s="23">
        <v>1.6973</v>
      </c>
      <c r="AU35" s="23">
        <v>2.0423</v>
      </c>
    </row>
    <row r="36" spans="1:47" ht="13.5" thickBot="1" x14ac:dyDescent="0.35">
      <c r="B36" s="621"/>
      <c r="C36" s="80"/>
      <c r="D36" s="80"/>
      <c r="E36" s="80"/>
      <c r="F36" s="622" t="s">
        <v>273</v>
      </c>
      <c r="G36" s="80"/>
      <c r="H36" s="80" t="s">
        <v>3</v>
      </c>
      <c r="I36" s="80"/>
      <c r="J36" s="623"/>
      <c r="L36" s="234"/>
      <c r="M36" s="538"/>
      <c r="N36" s="234"/>
      <c r="O36" s="234"/>
      <c r="P36" s="538"/>
      <c r="R36" s="26">
        <f t="shared" si="26"/>
        <v>3.999999999999998E-2</v>
      </c>
      <c r="S36" s="11">
        <f t="shared" si="29"/>
        <v>832.48389132455429</v>
      </c>
      <c r="T36" s="11">
        <f t="shared" si="27"/>
        <v>100.77722283113847</v>
      </c>
      <c r="U36" s="11">
        <f t="shared" si="30"/>
        <v>101.82157427704622</v>
      </c>
      <c r="V36" s="11"/>
      <c r="W36" s="11">
        <f t="shared" si="28"/>
        <v>910.6250000000008</v>
      </c>
      <c r="X36" s="11">
        <f t="shared" si="28"/>
        <v>178.12500000000017</v>
      </c>
      <c r="Y36" s="11">
        <f t="shared" si="31"/>
        <v>89.062500000000085</v>
      </c>
      <c r="Z36" s="11"/>
      <c r="AA36" s="11">
        <f t="shared" si="32"/>
        <v>1473.1250000000014</v>
      </c>
      <c r="AB36" s="11">
        <f t="shared" si="32"/>
        <v>484.37500000000051</v>
      </c>
      <c r="AC36" s="11">
        <f t="shared" si="32"/>
        <v>80.729166666666742</v>
      </c>
      <c r="AP36" s="21">
        <v>41</v>
      </c>
      <c r="AQ36" s="23">
        <v>6.2899999999999998E-2</v>
      </c>
      <c r="AR36" s="23">
        <v>0.12620000000000001</v>
      </c>
      <c r="AS36" s="23">
        <v>0.6804</v>
      </c>
      <c r="AT36" s="23">
        <v>1.6841999999999999</v>
      </c>
      <c r="AU36" s="23">
        <v>2.0215000000000001</v>
      </c>
    </row>
    <row r="37" spans="1:47" ht="16" thickBot="1" x14ac:dyDescent="0.4">
      <c r="B37" s="620" t="s">
        <v>157</v>
      </c>
      <c r="C37" s="45"/>
      <c r="D37" s="603"/>
      <c r="E37" s="603"/>
      <c r="F37" s="603"/>
      <c r="G37" s="609"/>
      <c r="H37" s="1244" t="s">
        <v>272</v>
      </c>
      <c r="I37" s="920">
        <v>20</v>
      </c>
      <c r="J37" s="1251"/>
      <c r="L37" s="628" t="s">
        <v>3</v>
      </c>
      <c r="M37" s="538"/>
      <c r="N37" s="234"/>
      <c r="O37" s="234"/>
      <c r="P37" s="538"/>
      <c r="R37" s="26">
        <f t="shared" si="26"/>
        <v>4.2499999999999982E-2</v>
      </c>
      <c r="S37" s="11">
        <f t="shared" si="29"/>
        <v>739.70891411448395</v>
      </c>
      <c r="T37" s="11">
        <f t="shared" si="27"/>
        <v>89.269789082254135</v>
      </c>
      <c r="U37" s="11">
        <f t="shared" si="30"/>
        <v>90.194889324995955</v>
      </c>
      <c r="V37" s="11"/>
      <c r="W37" s="11">
        <f t="shared" si="28"/>
        <v>808.92733564013906</v>
      </c>
      <c r="X37" s="11">
        <f t="shared" si="28"/>
        <v>157.78546712802782</v>
      </c>
      <c r="Y37" s="11">
        <f t="shared" si="31"/>
        <v>78.892733564013909</v>
      </c>
      <c r="Z37" s="11"/>
      <c r="AA37" s="11">
        <f t="shared" si="32"/>
        <v>1307.1972318339112</v>
      </c>
      <c r="AB37" s="11">
        <f t="shared" si="32"/>
        <v>429.06574394463706</v>
      </c>
      <c r="AC37" s="11">
        <f t="shared" si="32"/>
        <v>71.510957324106172</v>
      </c>
      <c r="AP37" s="21">
        <v>61</v>
      </c>
      <c r="AQ37" s="23">
        <v>6.2799999999999995E-2</v>
      </c>
      <c r="AR37" s="23">
        <v>0.12590000000000001</v>
      </c>
      <c r="AS37" s="23">
        <v>0.67830000000000001</v>
      </c>
      <c r="AT37" s="23">
        <v>1.671</v>
      </c>
      <c r="AU37" s="23">
        <v>2.0007999999999999</v>
      </c>
    </row>
    <row r="38" spans="1:47" ht="13" x14ac:dyDescent="0.3">
      <c r="B38" s="610"/>
      <c r="C38" s="52" t="s">
        <v>148</v>
      </c>
      <c r="D38" s="664">
        <v>8.5</v>
      </c>
      <c r="E38" s="616">
        <f>+D38</f>
        <v>8.5</v>
      </c>
      <c r="F38" s="617">
        <f>IF(F40="","",((2*F39)/SQRT((43560/F40)-D41))*12 )</f>
        <v>8.5</v>
      </c>
      <c r="G38" s="609" t="s">
        <v>108</v>
      </c>
      <c r="H38" s="1247" t="s">
        <v>3</v>
      </c>
      <c r="I38" s="1248"/>
      <c r="J38" s="1249"/>
      <c r="L38" s="656"/>
      <c r="R38" s="26">
        <f t="shared" si="26"/>
        <v>4.4999999999999984E-2</v>
      </c>
      <c r="S38" s="11">
        <f t="shared" si="29"/>
        <v>661.96258079964764</v>
      </c>
      <c r="T38" s="11">
        <f t="shared" si="27"/>
        <v>79.626447669047664</v>
      </c>
      <c r="U38" s="11">
        <f t="shared" si="30"/>
        <v>80.451614243592061</v>
      </c>
      <c r="V38" s="11"/>
      <c r="W38" s="11">
        <f t="shared" si="28"/>
        <v>723.70370370370415</v>
      </c>
      <c r="X38" s="11">
        <f t="shared" si="28"/>
        <v>140.74074074074082</v>
      </c>
      <c r="Y38" s="11">
        <f t="shared" si="31"/>
        <v>70.370370370370409</v>
      </c>
      <c r="Z38" s="11"/>
      <c r="AA38" s="11">
        <f t="shared" si="32"/>
        <v>1168.1481481481487</v>
      </c>
      <c r="AB38" s="11">
        <f t="shared" si="32"/>
        <v>382.71604938271628</v>
      </c>
      <c r="AC38" s="11">
        <f t="shared" si="32"/>
        <v>63.786008230452708</v>
      </c>
      <c r="AP38" s="21">
        <v>121</v>
      </c>
      <c r="AQ38" s="23">
        <v>6.2700000000000006E-2</v>
      </c>
      <c r="AR38" s="23">
        <v>0.12559999999999999</v>
      </c>
      <c r="AS38" s="23">
        <v>0.67620000000000002</v>
      </c>
      <c r="AT38" s="23">
        <v>1.6579999999999999</v>
      </c>
      <c r="AU38" s="23">
        <v>1.9803999999999999</v>
      </c>
    </row>
    <row r="39" spans="1:47" ht="13" x14ac:dyDescent="0.3">
      <c r="B39" s="610"/>
      <c r="C39" s="52" t="s">
        <v>149</v>
      </c>
      <c r="D39" s="664">
        <v>19</v>
      </c>
      <c r="E39" s="617">
        <f>IF(E40="","",(SQRT((43560/E40)-D41)*(E38))/2/12)</f>
        <v>18.999999999999996</v>
      </c>
      <c r="F39" s="604">
        <f>+D39</f>
        <v>19</v>
      </c>
      <c r="G39" s="609" t="s">
        <v>73</v>
      </c>
      <c r="H39" s="1247" t="s">
        <v>3</v>
      </c>
      <c r="I39" s="1248"/>
      <c r="J39" s="1249"/>
      <c r="K39" s="11" t="s">
        <v>3</v>
      </c>
      <c r="L39" s="234"/>
      <c r="R39" s="26">
        <f t="shared" si="26"/>
        <v>4.7499999999999987E-2</v>
      </c>
      <c r="S39" s="11">
        <f t="shared" si="29"/>
        <v>596.1658619919275</v>
      </c>
      <c r="T39" s="11">
        <f t="shared" si="27"/>
        <v>71.465288212663268</v>
      </c>
      <c r="U39" s="11">
        <f t="shared" si="30"/>
        <v>72.205880927766827</v>
      </c>
      <c r="V39" s="11"/>
      <c r="W39" s="11">
        <f t="shared" si="28"/>
        <v>651.57894736842138</v>
      </c>
      <c r="X39" s="11">
        <f t="shared" si="28"/>
        <v>126.31578947368428</v>
      </c>
      <c r="Y39" s="11">
        <f t="shared" si="31"/>
        <v>63.157894736842138</v>
      </c>
      <c r="Z39" s="11"/>
      <c r="AA39" s="11">
        <f t="shared" si="32"/>
        <v>1050.4709141274243</v>
      </c>
      <c r="AB39" s="11">
        <f t="shared" si="32"/>
        <v>343.49030470914141</v>
      </c>
      <c r="AC39" s="11">
        <f t="shared" si="32"/>
        <v>57.248384118190231</v>
      </c>
      <c r="AP39" s="21" t="s">
        <v>71</v>
      </c>
      <c r="AQ39" s="23">
        <v>6.2700000000000006E-2</v>
      </c>
      <c r="AR39" s="23">
        <v>0.12570000000000001</v>
      </c>
      <c r="AS39" s="23">
        <v>0.67449999999999999</v>
      </c>
      <c r="AT39" s="23">
        <v>1.6449</v>
      </c>
      <c r="AU39" s="23">
        <v>1.96</v>
      </c>
    </row>
    <row r="40" spans="1:47" ht="13.5" thickBot="1" x14ac:dyDescent="0.35">
      <c r="B40" s="611"/>
      <c r="C40" s="1259" t="s">
        <v>327</v>
      </c>
      <c r="D40" s="668">
        <f>IF(D38="","",43560/((D39*2/(D38/12))^2+D41) )</f>
        <v>15.135474376731306</v>
      </c>
      <c r="E40" s="654">
        <f>+D40</f>
        <v>15.135474376731306</v>
      </c>
      <c r="F40" s="655">
        <f>+D40</f>
        <v>15.135474376731306</v>
      </c>
      <c r="G40" s="624" t="s">
        <v>274</v>
      </c>
      <c r="H40" s="1247"/>
      <c r="I40" s="1248"/>
      <c r="J40" s="1250"/>
      <c r="K40" s="461" t="s">
        <v>150</v>
      </c>
      <c r="L40" s="527"/>
      <c r="M40" s="447"/>
      <c r="N40" s="532"/>
      <c r="R40" s="26">
        <f t="shared" si="26"/>
        <v>4.9999999999999989E-2</v>
      </c>
      <c r="S40" s="11">
        <f t="shared" si="29"/>
        <v>539.98969044771445</v>
      </c>
      <c r="T40" s="11">
        <f t="shared" si="27"/>
        <v>64.497422611928585</v>
      </c>
      <c r="U40" s="11">
        <f t="shared" si="30"/>
        <v>65.165807537309547</v>
      </c>
      <c r="V40" s="11"/>
      <c r="W40" s="11">
        <f t="shared" si="28"/>
        <v>590.00000000000023</v>
      </c>
      <c r="X40" s="11">
        <f t="shared" si="28"/>
        <v>114.00000000000004</v>
      </c>
      <c r="Y40" s="11">
        <f t="shared" si="31"/>
        <v>57.000000000000021</v>
      </c>
      <c r="Z40" s="11"/>
      <c r="AA40" s="11">
        <f t="shared" si="32"/>
        <v>950.00000000000045</v>
      </c>
      <c r="AB40" s="11">
        <f t="shared" si="32"/>
        <v>310.00000000000017</v>
      </c>
      <c r="AC40" s="11">
        <f t="shared" si="32"/>
        <v>51.666666666666693</v>
      </c>
      <c r="AP40" s="21"/>
      <c r="AQ40" s="23"/>
      <c r="AR40" s="23"/>
      <c r="AS40" s="23"/>
      <c r="AT40" s="23"/>
      <c r="AU40" s="23"/>
    </row>
    <row r="41" spans="1:47" ht="15.5" x14ac:dyDescent="0.35">
      <c r="B41" s="606"/>
      <c r="C41" s="618" t="s">
        <v>286</v>
      </c>
      <c r="D41" s="901">
        <v>0</v>
      </c>
      <c r="E41" s="45"/>
      <c r="F41" s="1245"/>
      <c r="G41" s="1255" t="s">
        <v>283</v>
      </c>
      <c r="H41" s="625">
        <f>SQRT(43560/(I37))/2/12</f>
        <v>1.9445436482630056</v>
      </c>
      <c r="I41" s="1248" t="s">
        <v>153</v>
      </c>
      <c r="J41" s="1252"/>
      <c r="K41" s="1152" t="s">
        <v>231</v>
      </c>
      <c r="L41" s="1272">
        <f>I37/4.356</f>
        <v>4.5913682277318646</v>
      </c>
      <c r="M41" s="1152" t="s">
        <v>318</v>
      </c>
      <c r="N41" s="1273"/>
      <c r="R41" s="26">
        <f t="shared" si="26"/>
        <v>5.2499999999999991E-2</v>
      </c>
      <c r="S41" s="11">
        <f t="shared" si="29"/>
        <v>491.64597773035325</v>
      </c>
      <c r="T41" s="11">
        <f t="shared" si="27"/>
        <v>58.501063593586011</v>
      </c>
      <c r="U41" s="11">
        <f t="shared" si="30"/>
        <v>59.107308423863529</v>
      </c>
      <c r="V41" s="11"/>
      <c r="W41" s="11">
        <f t="shared" si="28"/>
        <v>537.00680272108855</v>
      </c>
      <c r="X41" s="11">
        <f t="shared" si="28"/>
        <v>103.40136054421771</v>
      </c>
      <c r="Y41" s="11">
        <f t="shared" si="31"/>
        <v>51.700680272108855</v>
      </c>
      <c r="Z41" s="11"/>
      <c r="AA41" s="11">
        <f t="shared" si="32"/>
        <v>863.53741496598661</v>
      </c>
      <c r="AB41" s="11">
        <f t="shared" si="32"/>
        <v>281.17913832199554</v>
      </c>
      <c r="AC41" s="11">
        <f t="shared" si="32"/>
        <v>46.863189720332585</v>
      </c>
    </row>
    <row r="42" spans="1:47" ht="13.5" thickBot="1" x14ac:dyDescent="0.35">
      <c r="B42" s="607"/>
      <c r="C42" s="619" t="s">
        <v>285</v>
      </c>
      <c r="D42" s="608"/>
      <c r="E42" s="608"/>
      <c r="F42" s="1246"/>
      <c r="G42" s="1256" t="s">
        <v>326</v>
      </c>
      <c r="H42" s="627">
        <f>H41-(1/24)</f>
        <v>1.9028769815963389</v>
      </c>
      <c r="I42" s="1253" t="s">
        <v>153</v>
      </c>
      <c r="J42" s="1254"/>
      <c r="K42" s="1153" t="s">
        <v>258</v>
      </c>
      <c r="L42" s="1274" t="s">
        <v>3</v>
      </c>
      <c r="M42" s="1275"/>
      <c r="N42" s="1276"/>
      <c r="R42" s="26">
        <f t="shared" si="26"/>
        <v>5.4999999999999993E-2</v>
      </c>
      <c r="S42" s="11">
        <f t="shared" si="29"/>
        <v>449.74354582455726</v>
      </c>
      <c r="T42" s="11">
        <f t="shared" si="27"/>
        <v>53.303655051180634</v>
      </c>
      <c r="U42" s="11">
        <f t="shared" si="30"/>
        <v>53.856039287032665</v>
      </c>
      <c r="V42" s="11"/>
      <c r="W42" s="11">
        <f t="shared" si="28"/>
        <v>491.07438016528931</v>
      </c>
      <c r="X42" s="11">
        <f t="shared" si="28"/>
        <v>94.214876033057863</v>
      </c>
      <c r="Y42" s="11">
        <f t="shared" si="31"/>
        <v>47.107438016528931</v>
      </c>
      <c r="Z42" s="11"/>
      <c r="AA42" s="11">
        <f t="shared" si="32"/>
        <v>788.59504132231416</v>
      </c>
      <c r="AB42" s="11">
        <f t="shared" si="32"/>
        <v>256.19834710743805</v>
      </c>
      <c r="AC42" s="11">
        <f t="shared" si="32"/>
        <v>42.69972451790634</v>
      </c>
    </row>
    <row r="43" spans="1:47" ht="16.5" thickTop="1" thickBot="1" x14ac:dyDescent="0.4">
      <c r="B43" s="902" t="s">
        <v>123</v>
      </c>
      <c r="C43" s="1200">
        <f>ROUND(H41,1)</f>
        <v>1.9</v>
      </c>
      <c r="D43" s="605" t="s">
        <v>251</v>
      </c>
      <c r="E43" s="605" t="s">
        <v>250</v>
      </c>
      <c r="F43" s="613"/>
      <c r="G43" s="474" t="s">
        <v>249</v>
      </c>
      <c r="H43" s="1199">
        <v>12</v>
      </c>
      <c r="I43" s="475" t="s">
        <v>72</v>
      </c>
      <c r="J43" s="471"/>
      <c r="O43" s="534"/>
      <c r="R43" s="26">
        <f t="shared" si="26"/>
        <v>5.7499999999999996E-2</v>
      </c>
      <c r="S43" s="11">
        <f t="shared" si="29"/>
        <v>413.18691149165545</v>
      </c>
      <c r="T43" s="11">
        <f t="shared" si="27"/>
        <v>48.769317664974345</v>
      </c>
      <c r="U43" s="11">
        <f t="shared" si="30"/>
        <v>49.274712693617793</v>
      </c>
      <c r="V43" s="11"/>
      <c r="W43" s="11">
        <f t="shared" si="28"/>
        <v>451.00189035916827</v>
      </c>
      <c r="X43" s="11">
        <f t="shared" si="28"/>
        <v>86.200378071833654</v>
      </c>
      <c r="Y43" s="11">
        <f t="shared" si="31"/>
        <v>43.100189035916827</v>
      </c>
      <c r="Z43" s="11"/>
      <c r="AA43" s="11">
        <f t="shared" si="32"/>
        <v>723.21361058601144</v>
      </c>
      <c r="AB43" s="11">
        <f t="shared" si="32"/>
        <v>234.40453686200382</v>
      </c>
      <c r="AC43" s="11">
        <f t="shared" si="32"/>
        <v>39.067422810333966</v>
      </c>
    </row>
    <row r="44" spans="1:47" ht="13.5" thickBot="1" x14ac:dyDescent="0.35">
      <c r="B44" s="615" t="s">
        <v>265</v>
      </c>
      <c r="C44" s="469" t="s">
        <v>264</v>
      </c>
      <c r="D44" s="1262">
        <f>IF(C43="","",(43560/(C43*2*12)^2))</f>
        <v>20.948753462603882</v>
      </c>
      <c r="E44" s="1263">
        <f>IF(C43="","",(43560/ ( (C43+1/24)*2*12)^2))</f>
        <v>20.059312199524765</v>
      </c>
      <c r="F44" s="1260" t="s">
        <v>112</v>
      </c>
      <c r="G44" s="1278">
        <f>IF(H43="","",(H41*H43) )</f>
        <v>23.334523779156068</v>
      </c>
      <c r="H44" s="470" t="s">
        <v>158</v>
      </c>
      <c r="I44" s="470"/>
      <c r="J44" s="471"/>
      <c r="R44" s="26">
        <f t="shared" si="26"/>
        <v>0.06</v>
      </c>
      <c r="S44" s="11">
        <f t="shared" si="29"/>
        <v>381.10395169980148</v>
      </c>
      <c r="T44" s="11">
        <f t="shared" si="27"/>
        <v>44.789876813839271</v>
      </c>
      <c r="U44" s="11">
        <f t="shared" si="30"/>
        <v>45.254033012020493</v>
      </c>
      <c r="V44" s="11"/>
      <c r="W44" s="11">
        <f t="shared" si="28"/>
        <v>415.83333333333326</v>
      </c>
      <c r="X44" s="11">
        <f t="shared" si="28"/>
        <v>79.166666666666657</v>
      </c>
      <c r="Y44" s="11">
        <f t="shared" si="31"/>
        <v>39.583333333333329</v>
      </c>
      <c r="Z44" s="11"/>
      <c r="AA44" s="11">
        <f t="shared" si="32"/>
        <v>665.83333333333326</v>
      </c>
      <c r="AB44" s="11">
        <f t="shared" si="32"/>
        <v>215.27777777777777</v>
      </c>
      <c r="AC44" s="11">
        <f t="shared" si="32"/>
        <v>35.879629629629626</v>
      </c>
    </row>
    <row r="45" spans="1:47" ht="13.5" thickBot="1" x14ac:dyDescent="0.35">
      <c r="A45" s="450"/>
      <c r="B45" s="37" t="s">
        <v>3</v>
      </c>
      <c r="C45" s="37" t="s">
        <v>3</v>
      </c>
      <c r="D45" s="1265">
        <f>D44/I37</f>
        <v>1.0474376731301942</v>
      </c>
      <c r="E45" s="1264">
        <f>I37/E44</f>
        <v>0.99704315886134076</v>
      </c>
      <c r="F45" s="1261" t="s">
        <v>112</v>
      </c>
      <c r="G45" s="1279">
        <f>IF(H43="","",G44-(H43/2/12) )</f>
        <v>22.834523779156068</v>
      </c>
      <c r="H45" s="472" t="s">
        <v>164</v>
      </c>
      <c r="I45" s="472"/>
      <c r="J45" s="614"/>
      <c r="R45" s="26">
        <f t="shared" si="26"/>
        <v>6.25E-2</v>
      </c>
      <c r="S45" s="11">
        <f t="shared" si="29"/>
        <v>352.79340188653708</v>
      </c>
      <c r="T45" s="11">
        <f t="shared" si="27"/>
        <v>41.278350471634276</v>
      </c>
      <c r="U45" s="11">
        <f t="shared" si="30"/>
        <v>41.706116823878091</v>
      </c>
      <c r="V45" s="11"/>
      <c r="W45" s="11">
        <f t="shared" si="28"/>
        <v>384.79999999999995</v>
      </c>
      <c r="X45" s="11">
        <f t="shared" si="28"/>
        <v>72.959999999999994</v>
      </c>
      <c r="Y45" s="11">
        <f t="shared" si="31"/>
        <v>36.479999999999997</v>
      </c>
      <c r="Z45" s="11"/>
      <c r="AA45" s="11">
        <f t="shared" si="32"/>
        <v>615.19999999999993</v>
      </c>
      <c r="AB45" s="11">
        <f t="shared" si="32"/>
        <v>198.39999999999998</v>
      </c>
      <c r="AC45" s="11">
        <f t="shared" si="32"/>
        <v>33.066666666666663</v>
      </c>
    </row>
    <row r="46" spans="1:47" ht="13.5" thickBot="1" x14ac:dyDescent="0.35">
      <c r="L46" s="534" t="s">
        <v>3</v>
      </c>
      <c r="R46" s="26">
        <f t="shared" si="26"/>
        <v>6.5000000000000002E-2</v>
      </c>
      <c r="S46" s="11">
        <f t="shared" si="29"/>
        <v>327.68620736551139</v>
      </c>
      <c r="T46" s="11">
        <f t="shared" si="27"/>
        <v>38.164155391673702</v>
      </c>
      <c r="U46" s="11">
        <f t="shared" si="30"/>
        <v>38.559649430360665</v>
      </c>
      <c r="V46" s="11"/>
      <c r="W46" s="11">
        <f t="shared" si="28"/>
        <v>357.27810650887568</v>
      </c>
      <c r="X46" s="11">
        <f t="shared" si="28"/>
        <v>67.455621301775139</v>
      </c>
      <c r="Y46" s="11">
        <f t="shared" si="31"/>
        <v>33.727810650887569</v>
      </c>
      <c r="Z46" s="11"/>
      <c r="AA46" s="11">
        <f t="shared" si="32"/>
        <v>570.29585798816549</v>
      </c>
      <c r="AB46" s="11">
        <f t="shared" si="32"/>
        <v>183.43195266272184</v>
      </c>
      <c r="AC46" s="11">
        <f t="shared" si="32"/>
        <v>30.571992110453639</v>
      </c>
    </row>
    <row r="47" spans="1:47" ht="13.5" thickBot="1" x14ac:dyDescent="0.35">
      <c r="A47" s="468" t="s">
        <v>244</v>
      </c>
      <c r="B47" s="630"/>
      <c r="C47" s="631"/>
      <c r="D47" s="631"/>
      <c r="E47" s="632" t="s">
        <v>151</v>
      </c>
      <c r="F47" s="631"/>
      <c r="G47" s="631"/>
      <c r="H47" s="631"/>
      <c r="I47" s="631"/>
      <c r="J47" s="639"/>
      <c r="L47" s="234"/>
      <c r="M47" s="538"/>
      <c r="N47" s="234"/>
      <c r="R47" s="26"/>
      <c r="S47" s="11"/>
      <c r="T47" s="11"/>
      <c r="U47" s="11"/>
      <c r="V47" s="11"/>
      <c r="W47" s="11"/>
      <c r="X47" s="11"/>
      <c r="Y47" s="11"/>
      <c r="Z47" s="11"/>
      <c r="AA47" s="11"/>
      <c r="AB47" s="11"/>
      <c r="AC47" s="11"/>
    </row>
    <row r="48" spans="1:47" ht="13.5" thickBot="1" x14ac:dyDescent="0.35">
      <c r="B48" s="633"/>
      <c r="C48" s="631" t="s">
        <v>275</v>
      </c>
      <c r="D48" s="631"/>
      <c r="E48" s="631"/>
      <c r="F48" s="634"/>
      <c r="G48" s="631"/>
      <c r="H48" s="631"/>
      <c r="I48" s="631"/>
      <c r="J48" s="640"/>
      <c r="L48" s="234"/>
      <c r="M48" s="538"/>
      <c r="N48" s="234"/>
      <c r="R48" s="26"/>
      <c r="S48" s="11"/>
      <c r="T48" s="11"/>
      <c r="U48" s="11"/>
      <c r="V48" s="11"/>
      <c r="W48" s="11"/>
      <c r="X48" s="11"/>
      <c r="Y48" s="11"/>
      <c r="Z48" s="11"/>
      <c r="AA48" s="11"/>
      <c r="AB48" s="11"/>
      <c r="AC48" s="11"/>
    </row>
    <row r="49" spans="1:41" ht="16" thickBot="1" x14ac:dyDescent="0.4">
      <c r="B49" s="635" t="s">
        <v>157</v>
      </c>
      <c r="C49" s="636"/>
      <c r="D49" s="637"/>
      <c r="E49" s="637"/>
      <c r="F49" s="637"/>
      <c r="G49" s="638"/>
      <c r="H49" s="1207" t="s">
        <v>272</v>
      </c>
      <c r="I49" s="920">
        <f>I37/4.356</f>
        <v>4.5913682277318646</v>
      </c>
      <c r="J49" s="1219" t="s">
        <v>281</v>
      </c>
      <c r="L49" s="628" t="s">
        <v>3</v>
      </c>
      <c r="M49" s="538"/>
      <c r="N49" s="234"/>
      <c r="R49" s="26"/>
      <c r="S49" s="11"/>
      <c r="T49" s="11"/>
      <c r="U49" s="11"/>
      <c r="V49" s="11"/>
      <c r="W49" s="11"/>
      <c r="X49" s="11"/>
      <c r="Y49" s="11"/>
      <c r="Z49" s="11"/>
      <c r="AA49" s="11"/>
      <c r="AB49" s="11"/>
      <c r="AC49" s="11"/>
    </row>
    <row r="50" spans="1:41" ht="13" x14ac:dyDescent="0.3">
      <c r="B50" s="649"/>
      <c r="C50" s="643" t="s">
        <v>148</v>
      </c>
      <c r="D50" s="604">
        <f>D38*2.54</f>
        <v>21.59</v>
      </c>
      <c r="E50" s="604">
        <v>7</v>
      </c>
      <c r="F50" s="617">
        <f>IF(F52="","",((2*F51)/SQRT((10000/F52)-1))*100 )</f>
        <v>8.1575800404122525</v>
      </c>
      <c r="G50" s="609" t="s">
        <v>156</v>
      </c>
      <c r="H50" s="1208" t="s">
        <v>3</v>
      </c>
      <c r="I50" s="1213"/>
      <c r="J50" s="1214"/>
      <c r="L50" s="234"/>
      <c r="R50" s="26"/>
      <c r="S50" s="11"/>
      <c r="T50" s="11"/>
      <c r="U50" s="11"/>
      <c r="V50" s="11"/>
      <c r="W50" s="11"/>
      <c r="X50" s="11"/>
      <c r="Y50" s="11"/>
      <c r="Z50" s="11"/>
      <c r="AA50" s="11"/>
      <c r="AB50" s="11"/>
      <c r="AC50" s="11"/>
    </row>
    <row r="51" spans="1:41" ht="13" x14ac:dyDescent="0.3">
      <c r="B51" s="649"/>
      <c r="C51" s="643" t="s">
        <v>149</v>
      </c>
      <c r="D51" s="604">
        <f>D39/3.3</f>
        <v>5.7575757575757578</v>
      </c>
      <c r="E51" s="617">
        <f>IF(E52&gt;0,(SQRT((10000/E52)-1)*(E50))/2/100,"")</f>
        <v>0.51485857070275809</v>
      </c>
      <c r="F51" s="604">
        <v>0.6</v>
      </c>
      <c r="G51" s="609" t="s">
        <v>75</v>
      </c>
      <c r="H51" s="1208" t="s">
        <v>3</v>
      </c>
      <c r="I51" s="1213"/>
      <c r="J51" s="1214"/>
      <c r="K51" s="11" t="s">
        <v>3</v>
      </c>
      <c r="L51" s="234"/>
      <c r="R51" s="26"/>
      <c r="S51" s="11"/>
      <c r="T51" s="11"/>
      <c r="U51" s="11"/>
      <c r="V51" s="11"/>
      <c r="W51" s="11"/>
      <c r="X51" s="11"/>
      <c r="Y51" s="11"/>
      <c r="Z51" s="11"/>
      <c r="AA51" s="11"/>
      <c r="AB51" s="11"/>
      <c r="AC51" s="11"/>
    </row>
    <row r="52" spans="1:41" ht="13.5" thickBot="1" x14ac:dyDescent="0.35">
      <c r="B52" s="650"/>
      <c r="C52" s="651" t="s">
        <v>276</v>
      </c>
      <c r="D52" s="617">
        <f>10000/((D51*2/(D50/100))^2+D53)</f>
        <v>3.5153289536011076</v>
      </c>
      <c r="E52" s="652">
        <v>46</v>
      </c>
      <c r="F52" s="653">
        <v>46</v>
      </c>
      <c r="G52" s="641" t="s">
        <v>282</v>
      </c>
      <c r="H52" s="1208"/>
      <c r="I52" s="1213"/>
      <c r="J52" s="1215"/>
      <c r="K52" s="461" t="s">
        <v>150</v>
      </c>
      <c r="L52" s="527"/>
      <c r="M52" s="447"/>
      <c r="N52" s="532"/>
      <c r="R52" s="26"/>
      <c r="S52" s="11"/>
      <c r="T52" s="11"/>
      <c r="U52" s="11"/>
      <c r="V52" s="11"/>
      <c r="W52" s="11"/>
      <c r="X52" s="11"/>
      <c r="Y52" s="11"/>
      <c r="Z52" s="11"/>
      <c r="AA52" s="11"/>
      <c r="AB52" s="11"/>
      <c r="AC52" s="11"/>
    </row>
    <row r="53" spans="1:41" ht="15.5" x14ac:dyDescent="0.35">
      <c r="B53" s="642"/>
      <c r="C53" s="643" t="s">
        <v>277</v>
      </c>
      <c r="D53" s="901">
        <v>0</v>
      </c>
      <c r="E53" s="647"/>
      <c r="F53" s="1209"/>
      <c r="G53" s="1210" t="s">
        <v>283</v>
      </c>
      <c r="H53" s="625">
        <f>SQRT(10000/$I$49)/200</f>
        <v>0.23334523779156066</v>
      </c>
      <c r="I53" s="1213" t="s">
        <v>154</v>
      </c>
      <c r="J53" s="1216"/>
      <c r="K53" s="1154" t="s">
        <v>230</v>
      </c>
      <c r="L53" s="1272">
        <f>I49*4.356</f>
        <v>20</v>
      </c>
      <c r="M53" s="1152" t="s">
        <v>328</v>
      </c>
      <c r="N53" s="1273"/>
      <c r="R53" s="26"/>
      <c r="S53" s="11"/>
      <c r="T53" s="11"/>
      <c r="U53" s="11"/>
      <c r="V53" s="11"/>
      <c r="W53" s="11"/>
      <c r="X53" s="11"/>
      <c r="Y53" s="11"/>
      <c r="Z53" s="11"/>
      <c r="AA53" s="11"/>
      <c r="AB53" s="11"/>
      <c r="AC53" s="11"/>
    </row>
    <row r="54" spans="1:41" ht="13.5" thickBot="1" x14ac:dyDescent="0.35">
      <c r="B54" s="644"/>
      <c r="C54" s="645" t="s">
        <v>278</v>
      </c>
      <c r="D54" s="646"/>
      <c r="E54" s="648"/>
      <c r="F54" s="1211"/>
      <c r="G54" s="1212" t="s">
        <v>284</v>
      </c>
      <c r="H54" s="1156">
        <f>H53-(1/200)</f>
        <v>0.22834523779156066</v>
      </c>
      <c r="I54" s="1217" t="s">
        <v>154</v>
      </c>
      <c r="J54" s="1218"/>
      <c r="K54" s="1155" t="s">
        <v>259</v>
      </c>
      <c r="L54" s="1274"/>
      <c r="M54" s="1275"/>
      <c r="N54" s="1276"/>
      <c r="R54" s="26"/>
      <c r="S54" s="11"/>
      <c r="T54" s="11"/>
      <c r="U54" s="11"/>
      <c r="V54" s="11"/>
      <c r="W54" s="11"/>
      <c r="X54" s="11"/>
      <c r="Y54" s="11"/>
      <c r="Z54" s="11"/>
      <c r="AA54" s="11"/>
      <c r="AB54" s="11"/>
      <c r="AC54" s="11"/>
    </row>
    <row r="55" spans="1:41" ht="15" thickTop="1" thickBot="1" x14ac:dyDescent="0.35">
      <c r="B55" s="902" t="s">
        <v>123</v>
      </c>
      <c r="C55" s="1200">
        <f>ROUND(H53,2)</f>
        <v>0.23</v>
      </c>
      <c r="D55" s="605" t="s">
        <v>125</v>
      </c>
      <c r="E55" s="605" t="s">
        <v>124</v>
      </c>
      <c r="F55" s="1174"/>
      <c r="G55" s="1175" t="s">
        <v>249</v>
      </c>
      <c r="H55" s="1201">
        <v>60.96</v>
      </c>
      <c r="I55" s="1182" t="s">
        <v>74</v>
      </c>
      <c r="J55" s="1178"/>
      <c r="R55" s="26"/>
      <c r="S55" s="11"/>
      <c r="T55" s="11"/>
      <c r="U55" s="11"/>
      <c r="V55" s="11"/>
      <c r="W55" s="11"/>
      <c r="X55" s="11"/>
      <c r="Y55" s="11"/>
      <c r="Z55" s="11"/>
      <c r="AA55" s="11"/>
      <c r="AB55" s="11"/>
      <c r="AC55" s="11"/>
    </row>
    <row r="56" spans="1:41" ht="13.5" thickBot="1" x14ac:dyDescent="0.35">
      <c r="B56" s="615" t="s">
        <v>265</v>
      </c>
      <c r="C56" s="469" t="s">
        <v>271</v>
      </c>
      <c r="D56" s="1262">
        <f>IF(C55="","",(10000/ (C55*2*100)^2 ) )</f>
        <v>4.7258979206049148</v>
      </c>
      <c r="E56" s="1271">
        <f>IF(C55="","",(10000/((C55+1/200)*2*100)^2) )</f>
        <v>4.5269352648257133</v>
      </c>
      <c r="F56" s="1269" t="s">
        <v>112</v>
      </c>
      <c r="G56" s="473">
        <f>IF(H53="","",H55*H53)</f>
        <v>14.224725695773538</v>
      </c>
      <c r="H56" s="1176" t="s">
        <v>279</v>
      </c>
      <c r="I56" s="1177"/>
      <c r="J56" s="1178"/>
      <c r="R56" s="26"/>
      <c r="S56" s="11"/>
      <c r="T56" s="11"/>
      <c r="U56" s="11"/>
      <c r="V56" s="11"/>
      <c r="W56" s="11"/>
      <c r="X56" s="11"/>
      <c r="Y56" s="11"/>
      <c r="Z56" s="11"/>
      <c r="AA56" s="11"/>
      <c r="AB56" s="11"/>
      <c r="AC56" s="11"/>
    </row>
    <row r="57" spans="1:41" ht="13.5" thickBot="1" x14ac:dyDescent="0.35">
      <c r="C57" s="37" t="s">
        <v>3</v>
      </c>
      <c r="D57" s="1265">
        <f>D56/I49</f>
        <v>1.0293005671077504</v>
      </c>
      <c r="E57" s="1264">
        <f>I49/E56</f>
        <v>1.0142332415059687</v>
      </c>
      <c r="F57" s="1270" t="s">
        <v>112</v>
      </c>
      <c r="G57" s="591">
        <f>IF(H55="","",G56-(H55/2/100) )</f>
        <v>13.919925695773538</v>
      </c>
      <c r="H57" s="1179" t="s">
        <v>280</v>
      </c>
      <c r="I57" s="1180"/>
      <c r="J57" s="1181"/>
      <c r="R57" s="26"/>
      <c r="S57" s="11"/>
      <c r="T57" s="11"/>
      <c r="U57" s="11"/>
      <c r="V57" s="11"/>
      <c r="W57" s="11"/>
      <c r="X57" s="11"/>
      <c r="Y57" s="11"/>
      <c r="Z57" s="11"/>
      <c r="AA57" s="11"/>
      <c r="AB57" s="11"/>
      <c r="AC57" s="11"/>
    </row>
    <row r="58" spans="1:41" ht="13" x14ac:dyDescent="0.3">
      <c r="L58" s="534"/>
      <c r="R58" s="26"/>
      <c r="S58" s="11"/>
      <c r="T58" s="11"/>
      <c r="U58" s="11"/>
      <c r="V58" s="11"/>
      <c r="W58" s="11"/>
      <c r="X58" s="11"/>
      <c r="Y58" s="11"/>
      <c r="Z58" s="11"/>
      <c r="AA58" s="11"/>
      <c r="AB58" s="11"/>
      <c r="AC58" s="11"/>
    </row>
    <row r="59" spans="1:41" ht="13.5" thickBot="1" x14ac:dyDescent="0.35">
      <c r="L59" s="919" t="s">
        <v>3</v>
      </c>
      <c r="R59" s="457" t="s">
        <v>3</v>
      </c>
      <c r="S59" s="167" t="str">
        <f t="shared" ref="S59:S81" si="33">K2</f>
        <v>* modify by start by =====&gt;</v>
      </c>
      <c r="T59" s="167"/>
      <c r="U59" s="166">
        <f t="shared" ref="U59:U81" si="34">M2</f>
        <v>0</v>
      </c>
      <c r="V59" s="457" t="str">
        <f t="shared" ref="V59:V81" si="35">N2</f>
        <v>Total</v>
      </c>
      <c r="W59" s="457"/>
      <c r="X59" s="457"/>
      <c r="AE59" s="369"/>
      <c r="AF59" s="369"/>
      <c r="AG59" s="10"/>
      <c r="AH59" s="10"/>
      <c r="AI59" s="10"/>
      <c r="AJ59" s="10"/>
      <c r="AK59" s="10"/>
      <c r="AL59" s="10"/>
      <c r="AM59" s="10"/>
      <c r="AN59" s="10"/>
      <c r="AO59" s="10"/>
    </row>
    <row r="60" spans="1:41" ht="13.5" thickBot="1" x14ac:dyDescent="0.35">
      <c r="A60" s="468" t="s">
        <v>246</v>
      </c>
      <c r="B60" s="612"/>
      <c r="C60" s="128"/>
      <c r="D60" s="128"/>
      <c r="E60" s="674" t="s">
        <v>224</v>
      </c>
      <c r="F60" s="128"/>
      <c r="G60" s="675" t="s">
        <v>111</v>
      </c>
      <c r="H60" s="128"/>
      <c r="I60" s="128"/>
      <c r="J60" s="130"/>
      <c r="K60" s="629" t="s">
        <v>3</v>
      </c>
      <c r="L60" s="562" t="s">
        <v>3</v>
      </c>
      <c r="R60" s="458" t="str">
        <f t="shared" ref="R60:R81" si="36">J3</f>
        <v>n(TC)</v>
      </c>
      <c r="S60" s="459" t="str">
        <f t="shared" si="33"/>
        <v>SE%(TC)</v>
      </c>
      <c r="T60" s="458" t="str">
        <f t="shared" ref="T60:T81" si="37">L3</f>
        <v>n(VBAR)</v>
      </c>
      <c r="U60" s="460" t="str">
        <f t="shared" si="34"/>
        <v>SE%(VBAR)</v>
      </c>
      <c r="V60" s="458" t="str">
        <f t="shared" si="35"/>
        <v>Cost</v>
      </c>
      <c r="W60" s="458"/>
      <c r="X60" s="458" t="s">
        <v>34</v>
      </c>
      <c r="AE60" s="369"/>
      <c r="AF60" s="369"/>
      <c r="AG60" s="10"/>
      <c r="AH60" s="10"/>
      <c r="AI60" s="10"/>
      <c r="AJ60" s="10"/>
      <c r="AK60" s="10"/>
      <c r="AL60" s="10"/>
      <c r="AM60" s="10"/>
      <c r="AN60" s="10"/>
      <c r="AO60" s="10"/>
    </row>
    <row r="61" spans="1:41" ht="13.5" thickBot="1" x14ac:dyDescent="0.35">
      <c r="B61" s="676" t="s">
        <v>110</v>
      </c>
      <c r="C61" s="76"/>
      <c r="D61" s="76"/>
      <c r="E61" s="76"/>
      <c r="F61" s="76"/>
      <c r="G61" s="76"/>
      <c r="H61" s="76"/>
      <c r="I61" s="677" t="s">
        <v>3</v>
      </c>
      <c r="J61" s="77"/>
      <c r="L61" s="528"/>
      <c r="R61" s="167">
        <f t="shared" si="36"/>
        <v>35.879629629629626</v>
      </c>
      <c r="S61" s="455">
        <f t="shared" si="33"/>
        <v>5.8431100865781203E-2</v>
      </c>
      <c r="T61" s="167">
        <f t="shared" si="37"/>
        <v>215.27777777777777</v>
      </c>
      <c r="U61" s="466">
        <f t="shared" si="34"/>
        <v>1.3631084021929548E-2</v>
      </c>
      <c r="V61" s="167">
        <f t="shared" si="35"/>
        <v>665.83333333333326</v>
      </c>
      <c r="W61" s="167">
        <f t="shared" ref="W61:W81" si="38">O4</f>
        <v>12</v>
      </c>
      <c r="X61" s="167">
        <f t="shared" ref="X61:X81" si="39">P4</f>
        <v>3</v>
      </c>
      <c r="AE61" s="369"/>
      <c r="AF61" s="369"/>
      <c r="AG61" s="10"/>
      <c r="AH61" s="10"/>
      <c r="AI61" s="10"/>
      <c r="AJ61" s="10"/>
      <c r="AK61" s="10"/>
      <c r="AL61" s="10"/>
      <c r="AM61" s="10"/>
      <c r="AN61" s="10"/>
      <c r="AO61" s="10"/>
    </row>
    <row r="62" spans="1:41" ht="15.5" x14ac:dyDescent="0.35">
      <c r="B62" s="1185" t="s">
        <v>228</v>
      </c>
      <c r="C62" s="1183">
        <f>+I37</f>
        <v>20</v>
      </c>
      <c r="D62" s="1197" t="s">
        <v>76</v>
      </c>
      <c r="E62" s="1198">
        <f>+H43</f>
        <v>12</v>
      </c>
      <c r="F62" s="1222" t="s">
        <v>108</v>
      </c>
      <c r="G62" s="1223" t="s">
        <v>3</v>
      </c>
      <c r="H62" s="695">
        <f>43560*H63</f>
        <v>1710.5957549999998</v>
      </c>
      <c r="I62" s="1226" t="s">
        <v>253</v>
      </c>
      <c r="J62" s="1227"/>
      <c r="R62" s="167">
        <f t="shared" si="36"/>
        <v>40</v>
      </c>
      <c r="S62" s="455">
        <f t="shared" si="33"/>
        <v>5.5339859052946631E-2</v>
      </c>
      <c r="T62" s="167">
        <f t="shared" si="37"/>
        <v>80</v>
      </c>
      <c r="U62" s="466">
        <f t="shared" si="34"/>
        <v>2.3184046238739275E-2</v>
      </c>
      <c r="V62" s="167">
        <f t="shared" si="35"/>
        <v>420</v>
      </c>
      <c r="W62" s="167">
        <f t="shared" si="38"/>
        <v>15</v>
      </c>
      <c r="X62" s="167">
        <f t="shared" si="39"/>
        <v>3</v>
      </c>
      <c r="AE62" s="369"/>
      <c r="AF62" s="369"/>
      <c r="AG62" s="10"/>
      <c r="AH62" s="10"/>
      <c r="AI62" s="10"/>
      <c r="AJ62" s="10"/>
      <c r="AK62" s="10"/>
      <c r="AL62" s="10"/>
      <c r="AM62" s="10"/>
      <c r="AN62" s="10"/>
      <c r="AO62" s="10"/>
    </row>
    <row r="63" spans="1:41" ht="13.5" thickBot="1" x14ac:dyDescent="0.35">
      <c r="B63" s="1186" t="s">
        <v>3</v>
      </c>
      <c r="C63" s="1187" t="s">
        <v>3</v>
      </c>
      <c r="D63" s="1221" t="s">
        <v>197</v>
      </c>
      <c r="E63" s="678">
        <f>IF(E62="","",C62/( (E62/2/12)^2*3.14159))</f>
        <v>25.464812403910123</v>
      </c>
      <c r="F63" s="1224" t="s">
        <v>3</v>
      </c>
      <c r="G63" s="1225" t="s">
        <v>94</v>
      </c>
      <c r="H63" s="673">
        <f>IF(E62&gt;0,(((H65)^2)*3.14159/43560),"")</f>
        <v>3.9269874999999996E-2</v>
      </c>
      <c r="I63" s="1226" t="s">
        <v>262</v>
      </c>
      <c r="J63" s="1227"/>
      <c r="K63" s="461" t="s">
        <v>150</v>
      </c>
      <c r="L63" s="527"/>
      <c r="M63" s="447"/>
      <c r="N63" s="532"/>
      <c r="R63" s="167">
        <f t="shared" si="36"/>
        <v>18</v>
      </c>
      <c r="S63" s="455">
        <f t="shared" si="33"/>
        <v>8.2495791138430544E-2</v>
      </c>
      <c r="T63" s="167" t="str">
        <f t="shared" si="37"/>
        <v/>
      </c>
      <c r="U63" s="466" t="str">
        <f t="shared" si="34"/>
        <v/>
      </c>
      <c r="V63" s="167" t="str">
        <f t="shared" si="35"/>
        <v/>
      </c>
      <c r="W63" s="167">
        <f t="shared" si="38"/>
        <v>18</v>
      </c>
      <c r="X63" s="167">
        <f t="shared" si="39"/>
        <v>3</v>
      </c>
      <c r="AE63" s="369"/>
      <c r="AF63" s="369"/>
      <c r="AG63" s="10"/>
      <c r="AH63" s="10"/>
      <c r="AI63" s="10"/>
      <c r="AJ63" s="10"/>
      <c r="AK63" s="10"/>
      <c r="AL63" s="10"/>
      <c r="AM63" s="10"/>
      <c r="AN63" s="10"/>
      <c r="AO63" s="10"/>
    </row>
    <row r="64" spans="1:41" ht="14" thickTop="1" thickBot="1" x14ac:dyDescent="0.35">
      <c r="B64" s="1185"/>
      <c r="C64" s="470"/>
      <c r="D64" s="470"/>
      <c r="E64" s="1190" t="s">
        <v>116</v>
      </c>
      <c r="F64" s="1191" t="s">
        <v>170</v>
      </c>
      <c r="G64" s="1192"/>
      <c r="H64" s="1230" t="s">
        <v>3</v>
      </c>
      <c r="I64" s="1220"/>
      <c r="J64" s="1227"/>
      <c r="K64" s="585" t="s">
        <v>229</v>
      </c>
      <c r="L64" s="671"/>
      <c r="M64" s="580"/>
      <c r="N64" s="581"/>
      <c r="R64" s="167">
        <f t="shared" si="36"/>
        <v>21</v>
      </c>
      <c r="S64" s="455">
        <f t="shared" si="33"/>
        <v>7.6376261582597332E-2</v>
      </c>
      <c r="T64" s="167" t="str">
        <f t="shared" si="37"/>
        <v/>
      </c>
      <c r="U64" s="466" t="str">
        <f t="shared" si="34"/>
        <v/>
      </c>
      <c r="V64" s="167" t="str">
        <f t="shared" si="35"/>
        <v/>
      </c>
      <c r="W64" s="167">
        <f t="shared" si="38"/>
        <v>21</v>
      </c>
      <c r="X64" s="167">
        <f t="shared" si="39"/>
        <v>3</v>
      </c>
      <c r="AE64" s="369"/>
      <c r="AF64" s="369"/>
      <c r="AG64" s="10"/>
      <c r="AH64" s="10"/>
      <c r="AI64" s="10"/>
      <c r="AJ64" s="10"/>
      <c r="AK64" s="10"/>
      <c r="AL64" s="10"/>
      <c r="AM64" s="10"/>
      <c r="AN64" s="10"/>
      <c r="AO64" s="10"/>
    </row>
    <row r="65" spans="1:41" ht="13.5" thickBot="1" x14ac:dyDescent="0.35">
      <c r="B65" s="1188"/>
      <c r="C65" s="1187" t="s">
        <v>144</v>
      </c>
      <c r="D65" s="370">
        <f>(43560/C62)</f>
        <v>2178</v>
      </c>
      <c r="E65" s="1187" t="s">
        <v>169</v>
      </c>
      <c r="F65" s="97">
        <f>SQRT(43560/(C62))/2/12</f>
        <v>1.9445436482630056</v>
      </c>
      <c r="G65" s="1193" t="s">
        <v>287</v>
      </c>
      <c r="H65" s="679">
        <f>IF(E62&gt;0,F65*E62,"")</f>
        <v>23.334523779156068</v>
      </c>
      <c r="I65" s="1220" t="s">
        <v>183</v>
      </c>
      <c r="J65" s="1227"/>
      <c r="R65" s="167">
        <f t="shared" si="36"/>
        <v>24</v>
      </c>
      <c r="S65" s="455">
        <f t="shared" si="33"/>
        <v>7.1443450831176036E-2</v>
      </c>
      <c r="T65" s="167" t="str">
        <f t="shared" si="37"/>
        <v/>
      </c>
      <c r="U65" s="466" t="str">
        <f t="shared" si="34"/>
        <v/>
      </c>
      <c r="V65" s="167" t="str">
        <f t="shared" si="35"/>
        <v/>
      </c>
      <c r="W65" s="167">
        <f t="shared" si="38"/>
        <v>24</v>
      </c>
      <c r="X65" s="167">
        <f t="shared" si="39"/>
        <v>3</v>
      </c>
      <c r="AE65" s="369"/>
      <c r="AF65" s="369"/>
      <c r="AG65" s="10"/>
      <c r="AH65" s="10"/>
      <c r="AI65" s="10"/>
      <c r="AJ65" s="10"/>
      <c r="AK65" s="10"/>
      <c r="AL65" s="10"/>
      <c r="AM65" s="10"/>
      <c r="AN65" s="10"/>
      <c r="AO65" s="10"/>
    </row>
    <row r="66" spans="1:41" ht="13.5" thickBot="1" x14ac:dyDescent="0.35">
      <c r="B66" s="1189" t="s">
        <v>200</v>
      </c>
      <c r="C66" s="463">
        <f>2*DEGREES(ASIN(SQRT(1/D65)))</f>
        <v>2.4555960685207117</v>
      </c>
      <c r="D66" s="1196" t="s">
        <v>199</v>
      </c>
      <c r="E66" s="1195" t="s">
        <v>168</v>
      </c>
      <c r="F66" s="680">
        <f>F65-(1/24)</f>
        <v>1.9028769815963389</v>
      </c>
      <c r="G66" s="1194" t="s">
        <v>287</v>
      </c>
      <c r="H66" s="1184">
        <f>IF(E62&gt;0,F66*E62,"")</f>
        <v>22.834523779156065</v>
      </c>
      <c r="I66" s="1228" t="s">
        <v>184</v>
      </c>
      <c r="J66" s="1229"/>
      <c r="K66" s="369" t="s">
        <v>3</v>
      </c>
      <c r="R66" s="167">
        <f t="shared" si="36"/>
        <v>27</v>
      </c>
      <c r="S66" s="455">
        <f t="shared" si="33"/>
        <v>6.7357531405456333E-2</v>
      </c>
      <c r="T66" s="167" t="str">
        <f t="shared" si="37"/>
        <v/>
      </c>
      <c r="U66" s="466" t="str">
        <f t="shared" si="34"/>
        <v/>
      </c>
      <c r="V66" s="167" t="str">
        <f t="shared" si="35"/>
        <v/>
      </c>
      <c r="W66" s="167">
        <f t="shared" si="38"/>
        <v>27</v>
      </c>
      <c r="X66" s="167">
        <f t="shared" si="39"/>
        <v>3</v>
      </c>
      <c r="AE66" s="369"/>
      <c r="AF66" s="369"/>
      <c r="AG66" s="10"/>
      <c r="AH66" s="10"/>
      <c r="AI66" s="10"/>
      <c r="AJ66" s="10"/>
      <c r="AK66" s="10"/>
      <c r="AL66" s="10"/>
      <c r="AM66" s="10"/>
      <c r="AN66" s="10"/>
      <c r="AO66" s="10"/>
    </row>
    <row r="67" spans="1:41" ht="13" thickBot="1" x14ac:dyDescent="0.3">
      <c r="P67" s="11"/>
      <c r="R67" s="167">
        <f t="shared" si="36"/>
        <v>30</v>
      </c>
      <c r="S67" s="167">
        <f t="shared" si="33"/>
        <v>6.3900965042269373E-2</v>
      </c>
      <c r="T67" s="167" t="str">
        <f t="shared" si="37"/>
        <v/>
      </c>
      <c r="U67" s="466" t="str">
        <f t="shared" si="34"/>
        <v/>
      </c>
      <c r="V67" s="167" t="str">
        <f t="shared" si="35"/>
        <v/>
      </c>
      <c r="W67" s="167">
        <f t="shared" si="38"/>
        <v>30</v>
      </c>
      <c r="X67" s="167">
        <f t="shared" si="39"/>
        <v>3</v>
      </c>
      <c r="AE67" s="369"/>
      <c r="AF67" s="369"/>
      <c r="AG67" s="10"/>
      <c r="AH67" s="10"/>
      <c r="AI67" s="10"/>
      <c r="AJ67" s="10"/>
      <c r="AK67" s="10"/>
      <c r="AL67" s="10"/>
      <c r="AM67" s="10"/>
      <c r="AN67" s="10"/>
      <c r="AO67" s="10"/>
    </row>
    <row r="68" spans="1:41" ht="13.5" thickBot="1" x14ac:dyDescent="0.35">
      <c r="A68" s="468" t="s">
        <v>247</v>
      </c>
      <c r="B68" s="539"/>
      <c r="C68" s="540"/>
      <c r="D68" s="540"/>
      <c r="E68" s="541" t="s">
        <v>225</v>
      </c>
      <c r="F68" s="540"/>
      <c r="G68" s="546" t="s">
        <v>254</v>
      </c>
      <c r="H68" s="540"/>
      <c r="I68" s="540"/>
      <c r="J68" s="542"/>
      <c r="R68" s="167">
        <f t="shared" si="36"/>
        <v>33</v>
      </c>
      <c r="S68" s="167">
        <f t="shared" si="33"/>
        <v>6.0927179584494243E-2</v>
      </c>
      <c r="T68" s="167" t="str">
        <f t="shared" si="37"/>
        <v/>
      </c>
      <c r="U68" s="466" t="str">
        <f t="shared" si="34"/>
        <v/>
      </c>
      <c r="V68" s="167" t="str">
        <f t="shared" si="35"/>
        <v/>
      </c>
      <c r="W68" s="167">
        <f t="shared" si="38"/>
        <v>33</v>
      </c>
      <c r="X68" s="167">
        <f t="shared" si="39"/>
        <v>3</v>
      </c>
      <c r="AE68" s="369"/>
      <c r="AF68" s="369"/>
      <c r="AG68" s="10"/>
      <c r="AH68" s="10"/>
      <c r="AI68" s="10"/>
      <c r="AJ68" s="10"/>
      <c r="AK68" s="10"/>
      <c r="AL68" s="10"/>
      <c r="AM68" s="10"/>
      <c r="AN68" s="10"/>
      <c r="AO68" s="10"/>
    </row>
    <row r="69" spans="1:41" ht="15.5" x14ac:dyDescent="0.35">
      <c r="B69" s="684" t="s">
        <v>227</v>
      </c>
      <c r="C69" s="900">
        <f>C62/4.356</f>
        <v>4.5913682277318646</v>
      </c>
      <c r="D69" s="1231" t="s">
        <v>76</v>
      </c>
      <c r="E69" s="1198">
        <f>H55</f>
        <v>60.96</v>
      </c>
      <c r="F69" s="1233" t="s">
        <v>109</v>
      </c>
      <c r="G69" s="1234" t="s">
        <v>3</v>
      </c>
      <c r="H69" s="685">
        <f>IF(E69&gt;0,(((H72)^2)*3.14159),"")</f>
        <v>635.67818340238068</v>
      </c>
      <c r="I69" s="1236" t="s">
        <v>252</v>
      </c>
      <c r="J69" s="1237"/>
      <c r="R69" s="167">
        <f t="shared" si="36"/>
        <v>36</v>
      </c>
      <c r="S69" s="167">
        <f t="shared" si="33"/>
        <v>5.8333333333333327E-2</v>
      </c>
      <c r="T69" s="167">
        <f t="shared" si="37"/>
        <v>202.81690140845015</v>
      </c>
      <c r="U69" s="466">
        <f t="shared" si="34"/>
        <v>1.404358295529395E-2</v>
      </c>
      <c r="V69" s="167">
        <f t="shared" si="35"/>
        <v>641.63380281690024</v>
      </c>
      <c r="W69" s="167">
        <f t="shared" si="38"/>
        <v>36</v>
      </c>
      <c r="X69" s="167">
        <f t="shared" si="39"/>
        <v>3</v>
      </c>
      <c r="AE69" s="369"/>
      <c r="AF69" s="369"/>
      <c r="AG69" s="10"/>
      <c r="AH69" s="10"/>
      <c r="AI69" s="10"/>
      <c r="AJ69" s="10"/>
      <c r="AK69" s="10"/>
      <c r="AL69" s="10"/>
      <c r="AM69" s="10"/>
      <c r="AN69" s="10"/>
      <c r="AO69" s="10"/>
    </row>
    <row r="70" spans="1:41" ht="13.5" thickBot="1" x14ac:dyDescent="0.35">
      <c r="B70" s="686"/>
      <c r="C70" s="681"/>
      <c r="D70" s="1232" t="s">
        <v>198</v>
      </c>
      <c r="E70" s="689">
        <f>IF(E69="","",C69/( (E69/100/2)^2*3.14159) )</f>
        <v>15.731230457645037</v>
      </c>
      <c r="F70" s="1235" t="s">
        <v>3</v>
      </c>
      <c r="G70" s="1235" t="s">
        <v>94</v>
      </c>
      <c r="H70" s="673">
        <f>IF(E69&gt;0,(H69/10000),"")</f>
        <v>6.3567818340238072E-2</v>
      </c>
      <c r="I70" s="1238" t="s">
        <v>261</v>
      </c>
      <c r="J70" s="1239"/>
      <c r="K70" s="461" t="s">
        <v>150</v>
      </c>
      <c r="L70" s="527"/>
      <c r="M70" s="447"/>
      <c r="N70" s="532"/>
      <c r="R70" s="167">
        <f t="shared" si="36"/>
        <v>39</v>
      </c>
      <c r="S70" s="167">
        <f t="shared" si="33"/>
        <v>5.604485383178049E-2</v>
      </c>
      <c r="T70" s="167">
        <f t="shared" si="37"/>
        <v>87.150837988826666</v>
      </c>
      <c r="U70" s="466">
        <f t="shared" si="34"/>
        <v>2.1423686866978799E-2</v>
      </c>
      <c r="V70" s="167">
        <f t="shared" si="35"/>
        <v>428.3016759776533</v>
      </c>
      <c r="W70" s="167">
        <f t="shared" si="38"/>
        <v>39</v>
      </c>
      <c r="X70" s="167">
        <f t="shared" si="39"/>
        <v>3</v>
      </c>
      <c r="AE70" s="369"/>
      <c r="AF70" s="369"/>
      <c r="AG70" s="10"/>
      <c r="AH70" s="10"/>
      <c r="AI70" s="10"/>
      <c r="AJ70" s="10"/>
      <c r="AK70" s="10"/>
      <c r="AL70" s="10"/>
      <c r="AM70" s="10"/>
      <c r="AN70" s="10"/>
      <c r="AO70" s="10"/>
    </row>
    <row r="71" spans="1:41" ht="14" thickTop="1" thickBot="1" x14ac:dyDescent="0.35">
      <c r="B71" s="89"/>
      <c r="C71" s="87"/>
      <c r="D71" s="87"/>
      <c r="E71" s="688" t="s">
        <v>116</v>
      </c>
      <c r="F71" s="682" t="s">
        <v>77</v>
      </c>
      <c r="G71" s="87" t="s">
        <v>3</v>
      </c>
      <c r="H71" s="1243"/>
      <c r="I71" s="1238"/>
      <c r="J71" s="1239"/>
      <c r="K71" s="579" t="s">
        <v>233</v>
      </c>
      <c r="L71" s="672"/>
      <c r="M71" s="580"/>
      <c r="N71" s="581"/>
      <c r="R71" s="167">
        <f t="shared" si="36"/>
        <v>42</v>
      </c>
      <c r="S71" s="167">
        <f t="shared" si="33"/>
        <v>5.4006172486732167E-2</v>
      </c>
      <c r="T71" s="167">
        <f t="shared" si="37"/>
        <v>58.536585365853661</v>
      </c>
      <c r="U71" s="466">
        <f t="shared" si="34"/>
        <v>2.6140645235596872E-2</v>
      </c>
      <c r="V71" s="167">
        <f t="shared" si="35"/>
        <v>389.07317073170731</v>
      </c>
      <c r="W71" s="167">
        <f t="shared" si="38"/>
        <v>42</v>
      </c>
      <c r="X71" s="167">
        <f t="shared" si="39"/>
        <v>3</v>
      </c>
      <c r="AE71" s="369"/>
      <c r="AF71" s="369"/>
      <c r="AG71" s="10"/>
      <c r="AH71" s="10"/>
      <c r="AI71" s="10"/>
      <c r="AJ71" s="10"/>
      <c r="AK71" s="10"/>
      <c r="AL71" s="10"/>
      <c r="AM71" s="10"/>
      <c r="AN71" s="10"/>
      <c r="AO71" s="10"/>
    </row>
    <row r="72" spans="1:41" ht="13.5" thickBot="1" x14ac:dyDescent="0.35">
      <c r="B72" s="86"/>
      <c r="C72" s="88" t="s">
        <v>226</v>
      </c>
      <c r="D72" s="99">
        <f>(10000/C69)</f>
        <v>2177.9999999999995</v>
      </c>
      <c r="E72" s="692" t="s">
        <v>289</v>
      </c>
      <c r="F72" s="97">
        <f>SQRT(10000/(C69))/2/100</f>
        <v>0.23334523779156066</v>
      </c>
      <c r="G72" s="683" t="s">
        <v>288</v>
      </c>
      <c r="H72" s="690">
        <f>IF(E69&gt;0,(F72*E$69),"")</f>
        <v>14.224725695773538</v>
      </c>
      <c r="I72" s="1240" t="s">
        <v>172</v>
      </c>
      <c r="J72" s="1239"/>
      <c r="R72" s="167">
        <f t="shared" si="36"/>
        <v>45</v>
      </c>
      <c r="S72" s="167">
        <f t="shared" si="33"/>
        <v>5.2174919474995085E-2</v>
      </c>
      <c r="T72" s="167">
        <f t="shared" si="37"/>
        <v>45.569620253164516</v>
      </c>
      <c r="U72" s="466">
        <f t="shared" si="34"/>
        <v>2.962731472438531E-2</v>
      </c>
      <c r="V72" s="167">
        <f t="shared" si="35"/>
        <v>381.13924050632903</v>
      </c>
      <c r="W72" s="167">
        <f t="shared" si="38"/>
        <v>45</v>
      </c>
      <c r="X72" s="167">
        <f t="shared" si="39"/>
        <v>3</v>
      </c>
      <c r="AE72" s="369"/>
      <c r="AF72" s="369"/>
      <c r="AG72" s="10"/>
      <c r="AH72" s="10"/>
      <c r="AI72" s="10"/>
      <c r="AJ72" s="10"/>
      <c r="AK72" s="10"/>
      <c r="AL72" s="10"/>
      <c r="AM72" s="10"/>
      <c r="AN72" s="10"/>
      <c r="AO72" s="10"/>
    </row>
    <row r="73" spans="1:41" ht="13.5" thickBot="1" x14ac:dyDescent="0.35">
      <c r="B73" s="323" t="s">
        <v>200</v>
      </c>
      <c r="C73" s="463">
        <f>2*DEGREES(ASIN(1/SQRT(D72)))</f>
        <v>2.4555960685207121</v>
      </c>
      <c r="D73" s="70" t="s">
        <v>199</v>
      </c>
      <c r="E73" s="693" t="s">
        <v>290</v>
      </c>
      <c r="F73" s="694">
        <f>F72-(1/200)</f>
        <v>0.22834523779156066</v>
      </c>
      <c r="G73" s="687" t="s">
        <v>288</v>
      </c>
      <c r="H73" s="691">
        <f>IF(E69&gt;0,F73*E69,"")</f>
        <v>13.919925695773538</v>
      </c>
      <c r="I73" s="1241" t="s">
        <v>173</v>
      </c>
      <c r="J73" s="1242"/>
      <c r="K73" s="369" t="s">
        <v>3</v>
      </c>
      <c r="R73" s="167">
        <f t="shared" si="36"/>
        <v>48</v>
      </c>
      <c r="S73" s="167">
        <f t="shared" si="33"/>
        <v>5.0518148554092257E-2</v>
      </c>
      <c r="T73" s="167">
        <f t="shared" si="37"/>
        <v>38.170974155069594</v>
      </c>
      <c r="U73" s="466">
        <f t="shared" si="34"/>
        <v>3.2371540999258382E-2</v>
      </c>
      <c r="V73" s="167">
        <f t="shared" si="35"/>
        <v>384.34194831013917</v>
      </c>
      <c r="W73" s="167">
        <f t="shared" si="38"/>
        <v>48</v>
      </c>
      <c r="X73" s="167">
        <f t="shared" si="39"/>
        <v>3</v>
      </c>
      <c r="AE73" s="369"/>
      <c r="AF73" s="369"/>
      <c r="AG73" s="10"/>
      <c r="AH73" s="10"/>
      <c r="AI73" s="10"/>
      <c r="AJ73" s="10"/>
      <c r="AK73" s="10"/>
      <c r="AL73" s="10"/>
      <c r="AM73" s="10"/>
      <c r="AN73" s="10"/>
      <c r="AO73" s="10"/>
    </row>
    <row r="74" spans="1:41" x14ac:dyDescent="0.25">
      <c r="R74" s="167">
        <f t="shared" si="36"/>
        <v>51</v>
      </c>
      <c r="S74" s="167">
        <f t="shared" si="33"/>
        <v>4.900980294098034E-2</v>
      </c>
      <c r="T74" s="167">
        <f t="shared" si="37"/>
        <v>33.387888707037646</v>
      </c>
      <c r="U74" s="466">
        <f t="shared" si="34"/>
        <v>3.4612703097075134E-2</v>
      </c>
      <c r="V74" s="167">
        <f t="shared" si="35"/>
        <v>392.77577741407526</v>
      </c>
      <c r="W74" s="167">
        <f t="shared" si="38"/>
        <v>51</v>
      </c>
      <c r="X74" s="167">
        <f t="shared" si="39"/>
        <v>3</v>
      </c>
      <c r="AE74" s="369"/>
      <c r="AF74" s="369"/>
      <c r="AG74" s="10"/>
      <c r="AH74" s="10"/>
      <c r="AI74" s="10"/>
      <c r="AJ74" s="10"/>
      <c r="AK74" s="10"/>
      <c r="AL74" s="10"/>
      <c r="AM74" s="10"/>
      <c r="AN74" s="10"/>
      <c r="AO74" s="10"/>
    </row>
    <row r="75" spans="1:41" ht="13" thickBot="1" x14ac:dyDescent="0.3">
      <c r="R75" s="167">
        <f t="shared" si="36"/>
        <v>54</v>
      </c>
      <c r="S75" s="167">
        <f t="shared" si="33"/>
        <v>4.7628967220784017E-2</v>
      </c>
      <c r="T75" s="167">
        <f t="shared" si="37"/>
        <v>30.041724617524338</v>
      </c>
      <c r="U75" s="466">
        <f t="shared" si="34"/>
        <v>3.6489470830384507E-2</v>
      </c>
      <c r="V75" s="167">
        <f t="shared" si="35"/>
        <v>404.08344923504865</v>
      </c>
      <c r="W75" s="167">
        <f t="shared" si="38"/>
        <v>54</v>
      </c>
      <c r="X75" s="167">
        <f t="shared" si="39"/>
        <v>3</v>
      </c>
      <c r="AE75" s="369"/>
      <c r="AF75" s="369"/>
      <c r="AG75" s="10"/>
      <c r="AH75" s="10"/>
      <c r="AI75" s="10"/>
      <c r="AJ75" s="10"/>
      <c r="AK75" s="10"/>
      <c r="AL75" s="10"/>
      <c r="AM75" s="10"/>
      <c r="AN75" s="10"/>
      <c r="AO75" s="10"/>
    </row>
    <row r="76" spans="1:41" ht="13" x14ac:dyDescent="0.3">
      <c r="A76" s="468">
        <v>7</v>
      </c>
      <c r="B76" s="356" t="s">
        <v>135</v>
      </c>
      <c r="C76" s="357"/>
      <c r="D76" s="357"/>
      <c r="E76" s="357"/>
      <c r="F76" s="357"/>
      <c r="G76" s="357"/>
      <c r="H76" s="358"/>
      <c r="I76" s="371" t="s">
        <v>3</v>
      </c>
      <c r="R76" s="167">
        <f t="shared" si="36"/>
        <v>57</v>
      </c>
      <c r="S76" s="167">
        <f t="shared" si="33"/>
        <v>4.6358632497276529E-2</v>
      </c>
      <c r="T76" s="167">
        <f t="shared" si="37"/>
        <v>27.569528415961297</v>
      </c>
      <c r="U76" s="466">
        <f t="shared" si="34"/>
        <v>3.8090381895991232E-2</v>
      </c>
      <c r="V76" s="167">
        <f t="shared" si="35"/>
        <v>417.13905683192257</v>
      </c>
      <c r="W76" s="167">
        <f t="shared" si="38"/>
        <v>57</v>
      </c>
      <c r="X76" s="167">
        <f t="shared" si="39"/>
        <v>3</v>
      </c>
      <c r="AE76" s="369"/>
      <c r="AF76" s="369"/>
      <c r="AG76" s="10"/>
      <c r="AH76" s="10"/>
      <c r="AI76" s="10"/>
      <c r="AJ76" s="10"/>
      <c r="AK76" s="10"/>
      <c r="AL76" s="10"/>
      <c r="AM76" s="10"/>
      <c r="AN76" s="10"/>
      <c r="AO76" s="10"/>
    </row>
    <row r="77" spans="1:41" x14ac:dyDescent="0.25">
      <c r="B77" s="375" t="s">
        <v>201</v>
      </c>
      <c r="C77" s="359"/>
      <c r="D77" s="359"/>
      <c r="E77" s="359"/>
      <c r="F77" s="359"/>
      <c r="G77" s="359" t="s">
        <v>78</v>
      </c>
      <c r="H77" s="360"/>
      <c r="R77" s="167">
        <f t="shared" si="36"/>
        <v>60</v>
      </c>
      <c r="S77" s="167">
        <f t="shared" si="33"/>
        <v>4.5184805705753193E-2</v>
      </c>
      <c r="T77" s="167">
        <f t="shared" si="37"/>
        <v>25.668449197860966</v>
      </c>
      <c r="U77" s="466">
        <f t="shared" si="34"/>
        <v>3.947573094109004E-2</v>
      </c>
      <c r="V77" s="167">
        <f t="shared" si="35"/>
        <v>431.33689839572196</v>
      </c>
      <c r="W77" s="167">
        <f t="shared" si="38"/>
        <v>60</v>
      </c>
      <c r="X77" s="167">
        <f t="shared" si="39"/>
        <v>3</v>
      </c>
      <c r="AE77" s="369"/>
      <c r="AF77" s="369"/>
      <c r="AG77" s="10"/>
      <c r="AH77" s="10"/>
      <c r="AI77" s="10"/>
      <c r="AJ77" s="10"/>
      <c r="AK77" s="10"/>
      <c r="AL77" s="10"/>
      <c r="AM77" s="10"/>
      <c r="AN77" s="10"/>
      <c r="AO77" s="10"/>
    </row>
    <row r="78" spans="1:41" ht="15.5" x14ac:dyDescent="0.35">
      <c r="B78" s="365" t="s">
        <v>298</v>
      </c>
      <c r="C78" s="1205">
        <f>F15</f>
        <v>5.5339859052946631E-2</v>
      </c>
      <c r="D78" s="361" t="s">
        <v>79</v>
      </c>
      <c r="E78" s="938">
        <f>C15</f>
        <v>40</v>
      </c>
      <c r="F78" s="923" t="s">
        <v>80</v>
      </c>
      <c r="G78" s="937">
        <f>(C78*SQRT(E78))</f>
        <v>0.35</v>
      </c>
      <c r="H78" s="360" t="s">
        <v>81</v>
      </c>
      <c r="R78" s="167">
        <f t="shared" si="36"/>
        <v>63</v>
      </c>
      <c r="S78" s="167">
        <f t="shared" si="33"/>
        <v>4.4095855184409838E-2</v>
      </c>
      <c r="T78" s="167">
        <f t="shared" si="37"/>
        <v>24.161073825503358</v>
      </c>
      <c r="U78" s="466">
        <f t="shared" si="34"/>
        <v>4.0688518719112346E-2</v>
      </c>
      <c r="V78" s="167">
        <f t="shared" si="35"/>
        <v>446.32214765100673</v>
      </c>
      <c r="W78" s="167">
        <f t="shared" si="38"/>
        <v>63</v>
      </c>
      <c r="X78" s="167">
        <f t="shared" si="39"/>
        <v>3</v>
      </c>
      <c r="AE78" s="369"/>
      <c r="AF78" s="369"/>
      <c r="AG78" s="10"/>
      <c r="AH78" s="10"/>
      <c r="AI78" s="10"/>
      <c r="AJ78" s="10"/>
      <c r="AK78" s="10"/>
      <c r="AL78" s="10"/>
      <c r="AM78" s="10"/>
      <c r="AN78" s="10"/>
      <c r="AO78" s="10"/>
    </row>
    <row r="79" spans="1:41" ht="15.5" x14ac:dyDescent="0.35">
      <c r="B79" s="476" t="s">
        <v>186</v>
      </c>
      <c r="C79" s="921">
        <f>SQRT(C80^2-C78^2)</f>
        <v>2.2360679774997907E-2</v>
      </c>
      <c r="D79" s="361" t="s">
        <v>128</v>
      </c>
      <c r="E79" s="939">
        <f>+C16</f>
        <v>80</v>
      </c>
      <c r="F79" s="922" t="s">
        <v>82</v>
      </c>
      <c r="G79" s="924">
        <f>SQRT((C80^2)-C78^2)*(SQRT(E79))</f>
        <v>0.20000000000000009</v>
      </c>
      <c r="H79" s="360" t="s">
        <v>81</v>
      </c>
      <c r="R79" s="167">
        <f t="shared" si="36"/>
        <v>66</v>
      </c>
      <c r="S79" s="167">
        <f t="shared" si="33"/>
        <v>4.3082021842766452E-2</v>
      </c>
      <c r="T79" s="167">
        <f t="shared" si="37"/>
        <v>22.936576889661165</v>
      </c>
      <c r="U79" s="466">
        <f t="shared" si="34"/>
        <v>4.1760500403364355E-2</v>
      </c>
      <c r="V79" s="167">
        <f t="shared" si="35"/>
        <v>461.87315377932231</v>
      </c>
      <c r="W79" s="167">
        <f t="shared" si="38"/>
        <v>66</v>
      </c>
      <c r="X79" s="167">
        <f t="shared" si="39"/>
        <v>3</v>
      </c>
      <c r="AE79" s="369"/>
      <c r="AF79" s="369"/>
      <c r="AG79" s="10"/>
      <c r="AH79" s="10"/>
      <c r="AI79" s="10"/>
      <c r="AJ79" s="10"/>
      <c r="AK79" s="10"/>
      <c r="AL79" s="10"/>
      <c r="AM79" s="10"/>
      <c r="AN79" s="10"/>
      <c r="AO79" s="10"/>
    </row>
    <row r="80" spans="1:41" ht="16" thickBot="1" x14ac:dyDescent="0.4">
      <c r="B80" s="366" t="s">
        <v>299</v>
      </c>
      <c r="C80" s="1206">
        <f>F17</f>
        <v>5.9686681931566607E-2</v>
      </c>
      <c r="D80" s="363"/>
      <c r="E80" s="363"/>
      <c r="F80" s="363"/>
      <c r="G80" s="363"/>
      <c r="H80" s="144"/>
      <c r="R80" s="167">
        <f t="shared" si="36"/>
        <v>69</v>
      </c>
      <c r="S80" s="167">
        <f t="shared" si="33"/>
        <v>4.2135048580019215E-2</v>
      </c>
      <c r="T80" s="167">
        <f t="shared" si="37"/>
        <v>21.922160444797463</v>
      </c>
      <c r="U80" s="466">
        <f t="shared" si="34"/>
        <v>4.271577789481798E-2</v>
      </c>
      <c r="V80" s="167">
        <f t="shared" si="35"/>
        <v>477.84432088959494</v>
      </c>
      <c r="W80" s="167">
        <f t="shared" si="38"/>
        <v>69</v>
      </c>
      <c r="X80" s="167">
        <f t="shared" si="39"/>
        <v>3</v>
      </c>
      <c r="AE80" s="369"/>
      <c r="AF80" s="369"/>
      <c r="AG80" s="10"/>
      <c r="AH80" s="10"/>
      <c r="AI80" s="10"/>
      <c r="AJ80" s="10"/>
      <c r="AK80" s="10"/>
      <c r="AL80" s="10"/>
      <c r="AM80" s="10"/>
      <c r="AN80" s="10"/>
      <c r="AO80" s="10"/>
    </row>
    <row r="81" spans="1:41" ht="13" thickBot="1" x14ac:dyDescent="0.3">
      <c r="R81" s="167">
        <f t="shared" si="36"/>
        <v>72</v>
      </c>
      <c r="S81" s="167">
        <f t="shared" si="33"/>
        <v>4.1247895569215272E-2</v>
      </c>
      <c r="T81" s="167">
        <f t="shared" si="37"/>
        <v>21.068032187271399</v>
      </c>
      <c r="U81" s="466">
        <f t="shared" si="34"/>
        <v>4.3573054874671238E-2</v>
      </c>
      <c r="V81" s="167">
        <f t="shared" si="35"/>
        <v>494.1360643745428</v>
      </c>
      <c r="W81" s="167">
        <f t="shared" si="38"/>
        <v>72</v>
      </c>
      <c r="X81" s="167">
        <f t="shared" si="39"/>
        <v>3</v>
      </c>
      <c r="AE81" s="369"/>
      <c r="AF81" s="369"/>
      <c r="AG81" s="10"/>
      <c r="AH81" s="10"/>
      <c r="AI81" s="10"/>
      <c r="AJ81" s="10"/>
      <c r="AK81" s="10"/>
      <c r="AL81" s="10"/>
      <c r="AM81" s="10"/>
      <c r="AN81" s="10"/>
      <c r="AO81" s="10"/>
    </row>
    <row r="82" spans="1:41" ht="13.5" thickBot="1" x14ac:dyDescent="0.35">
      <c r="A82" s="468">
        <v>8</v>
      </c>
      <c r="B82" s="512" t="s">
        <v>223</v>
      </c>
      <c r="C82" s="513"/>
      <c r="D82" s="513"/>
      <c r="E82" s="513"/>
      <c r="F82" s="513"/>
      <c r="G82" s="513"/>
      <c r="H82" s="513"/>
      <c r="I82" s="513"/>
      <c r="J82" s="514"/>
      <c r="AE82" s="369"/>
      <c r="AF82" s="369"/>
      <c r="AG82" s="10"/>
      <c r="AH82" s="10"/>
      <c r="AI82" s="10"/>
      <c r="AJ82" s="10"/>
      <c r="AK82" s="10"/>
      <c r="AL82" s="10"/>
      <c r="AM82" s="10"/>
      <c r="AN82" s="10"/>
      <c r="AO82" s="10"/>
    </row>
    <row r="83" spans="1:41" ht="13" x14ac:dyDescent="0.3">
      <c r="B83" s="341"/>
      <c r="C83" s="342" t="s">
        <v>0</v>
      </c>
      <c r="D83" s="342"/>
      <c r="E83" s="342" t="s">
        <v>1</v>
      </c>
      <c r="F83" s="342"/>
      <c r="G83" s="342"/>
      <c r="H83" s="342" t="s">
        <v>2</v>
      </c>
      <c r="I83" s="342"/>
      <c r="J83" s="353"/>
      <c r="K83" s="11"/>
      <c r="L83" s="529"/>
      <c r="M83" s="11"/>
      <c r="N83" s="529"/>
      <c r="O83" s="529"/>
      <c r="AE83" s="369"/>
      <c r="AF83" s="369"/>
      <c r="AG83" s="10"/>
      <c r="AH83" s="10"/>
      <c r="AI83" s="10"/>
      <c r="AJ83" s="10"/>
      <c r="AK83" s="10"/>
      <c r="AL83" s="10"/>
      <c r="AM83" s="10"/>
      <c r="AN83" s="10"/>
      <c r="AO83" s="10"/>
    </row>
    <row r="84" spans="1:41" ht="13" x14ac:dyDescent="0.3">
      <c r="B84" s="385" t="s">
        <v>202</v>
      </c>
      <c r="C84" s="515">
        <f>C3</f>
        <v>0.35</v>
      </c>
      <c r="D84" s="342" t="s">
        <v>3</v>
      </c>
      <c r="E84" s="344">
        <f>E3</f>
        <v>6</v>
      </c>
      <c r="F84" s="342" t="s">
        <v>4</v>
      </c>
      <c r="G84" s="342"/>
      <c r="H84" s="345">
        <f t="shared" ref="H84:I87" si="40">H3</f>
        <v>20</v>
      </c>
      <c r="I84" s="132" t="str">
        <f t="shared" si="40"/>
        <v>cost #1, perhaps travel to plot</v>
      </c>
      <c r="J84" s="353"/>
      <c r="K84" s="11"/>
      <c r="L84" s="529"/>
      <c r="M84" s="11"/>
      <c r="N84" s="529"/>
      <c r="O84" s="529"/>
      <c r="AE84" s="369"/>
      <c r="AF84" s="369"/>
      <c r="AG84" s="10"/>
      <c r="AH84" s="10"/>
      <c r="AI84" s="10"/>
      <c r="AJ84" s="10"/>
      <c r="AK84" s="10"/>
      <c r="AL84" s="10"/>
      <c r="AM84" s="10"/>
      <c r="AN84" s="10"/>
      <c r="AO84" s="10"/>
    </row>
    <row r="85" spans="1:41" ht="13" x14ac:dyDescent="0.3">
      <c r="B85" s="341"/>
      <c r="C85" s="342"/>
      <c r="D85" s="342"/>
      <c r="E85" s="342" t="s">
        <v>3</v>
      </c>
      <c r="F85" s="342"/>
      <c r="G85" s="342"/>
      <c r="H85" s="345">
        <f t="shared" si="40"/>
        <v>0</v>
      </c>
      <c r="I85" s="132" t="str">
        <f t="shared" si="40"/>
        <v>cost #2, other costs PER plot</v>
      </c>
      <c r="J85" s="353"/>
      <c r="K85" s="11"/>
      <c r="L85" s="529"/>
      <c r="M85" s="11"/>
      <c r="N85" s="529"/>
      <c r="O85" s="529"/>
      <c r="AE85" s="369"/>
      <c r="AF85" s="369"/>
      <c r="AG85" s="10"/>
      <c r="AH85" s="10"/>
      <c r="AI85" s="10"/>
      <c r="AJ85" s="10"/>
      <c r="AK85" s="10"/>
      <c r="AL85" s="10"/>
      <c r="AM85" s="10"/>
      <c r="AN85" s="10"/>
      <c r="AO85" s="10"/>
    </row>
    <row r="86" spans="1:41" ht="13.5" thickBot="1" x14ac:dyDescent="0.35">
      <c r="A86" s="5"/>
      <c r="B86" s="386" t="s">
        <v>203</v>
      </c>
      <c r="C86" s="515">
        <f>C5</f>
        <v>0.2</v>
      </c>
      <c r="D86" s="342" t="s">
        <v>3</v>
      </c>
      <c r="E86" s="344">
        <f>E5</f>
        <v>2</v>
      </c>
      <c r="F86" s="342" t="s">
        <v>5</v>
      </c>
      <c r="G86" s="342"/>
      <c r="H86" s="516">
        <f t="shared" si="40"/>
        <v>0</v>
      </c>
      <c r="I86" s="132" t="str">
        <f t="shared" si="40"/>
        <v>cost #3, additional  cost/plot</v>
      </c>
      <c r="J86" s="353"/>
      <c r="K86" s="11"/>
      <c r="L86" s="529"/>
      <c r="M86" s="11"/>
      <c r="N86" s="529"/>
      <c r="O86" s="529"/>
      <c r="AE86" s="369"/>
      <c r="AF86" s="369"/>
      <c r="AG86" s="10"/>
      <c r="AH86" s="10"/>
      <c r="AI86" s="10"/>
      <c r="AJ86" s="10"/>
      <c r="AK86" s="10"/>
      <c r="AL86" s="10"/>
      <c r="AM86" s="10"/>
      <c r="AN86" s="10"/>
      <c r="AO86" s="10"/>
    </row>
    <row r="87" spans="1:41" ht="14" thickTop="1" thickBot="1" x14ac:dyDescent="0.35">
      <c r="A87" s="5"/>
      <c r="B87" s="341" t="s">
        <v>3</v>
      </c>
      <c r="C87" s="342" t="s">
        <v>3</v>
      </c>
      <c r="D87" s="342" t="s">
        <v>3</v>
      </c>
      <c r="E87" s="342" t="s">
        <v>3</v>
      </c>
      <c r="F87" s="344" t="s">
        <v>3</v>
      </c>
      <c r="G87" s="342" t="s">
        <v>3</v>
      </c>
      <c r="H87" s="345">
        <f t="shared" si="40"/>
        <v>20</v>
      </c>
      <c r="I87" s="509" t="str">
        <f t="shared" si="40"/>
        <v>= total</v>
      </c>
      <c r="J87" s="353"/>
      <c r="K87" s="11"/>
      <c r="L87" s="529"/>
      <c r="M87" s="11"/>
      <c r="N87" s="529"/>
      <c r="O87" s="529"/>
      <c r="AE87" s="369"/>
      <c r="AF87" s="369"/>
      <c r="AG87" s="10"/>
      <c r="AH87" s="10"/>
      <c r="AI87" s="10"/>
      <c r="AJ87" s="10"/>
      <c r="AK87" s="10"/>
      <c r="AL87" s="10"/>
      <c r="AM87" s="10"/>
      <c r="AN87" s="10"/>
      <c r="AO87" s="10"/>
    </row>
    <row r="88" spans="1:41" ht="13.5" thickBot="1" x14ac:dyDescent="0.35">
      <c r="A88" s="5"/>
      <c r="B88" s="341"/>
      <c r="C88" s="342"/>
      <c r="D88" s="346" t="s">
        <v>179</v>
      </c>
      <c r="E88" s="502">
        <f>C15/C16</f>
        <v>0.5</v>
      </c>
      <c r="F88" s="342" t="s">
        <v>113</v>
      </c>
      <c r="G88" s="342"/>
      <c r="H88" s="342"/>
      <c r="I88" s="342"/>
      <c r="J88" s="353"/>
      <c r="AE88" s="369"/>
      <c r="AF88" s="369"/>
      <c r="AG88" s="10"/>
      <c r="AH88" s="10"/>
      <c r="AI88" s="10"/>
      <c r="AJ88" s="10"/>
      <c r="AK88" s="10"/>
      <c r="AL88" s="10"/>
      <c r="AM88" s="10"/>
      <c r="AN88" s="10"/>
      <c r="AO88" s="10"/>
    </row>
    <row r="89" spans="1:41" ht="13" x14ac:dyDescent="0.3">
      <c r="A89" s="5"/>
      <c r="B89" s="341"/>
      <c r="C89" s="342"/>
      <c r="D89" s="342"/>
      <c r="E89" s="497"/>
      <c r="F89" s="128"/>
      <c r="G89" s="498" t="s">
        <v>257</v>
      </c>
      <c r="H89" s="499">
        <f>C15</f>
        <v>40</v>
      </c>
      <c r="I89" s="342"/>
      <c r="J89" s="353"/>
      <c r="AE89" s="369"/>
      <c r="AF89" s="369"/>
      <c r="AG89" s="10"/>
      <c r="AH89" s="10"/>
      <c r="AI89" s="10"/>
      <c r="AJ89" s="10"/>
      <c r="AK89" s="10"/>
      <c r="AL89" s="10"/>
      <c r="AM89" s="10"/>
      <c r="AN89" s="10"/>
      <c r="AO89" s="10"/>
    </row>
    <row r="90" spans="1:41" ht="13.5" thickBot="1" x14ac:dyDescent="0.35">
      <c r="A90" s="5"/>
      <c r="B90" s="343" t="s">
        <v>7</v>
      </c>
      <c r="C90" s="342"/>
      <c r="D90" s="517">
        <f>D9</f>
        <v>0.06</v>
      </c>
      <c r="E90" s="388" t="s">
        <v>3</v>
      </c>
      <c r="F90" s="389"/>
      <c r="G90" s="500" t="s">
        <v>180</v>
      </c>
      <c r="H90" s="501">
        <f>C16</f>
        <v>80</v>
      </c>
      <c r="I90" s="342"/>
      <c r="J90" s="353"/>
      <c r="AE90" s="369"/>
      <c r="AF90" s="369"/>
      <c r="AG90" s="10"/>
      <c r="AH90" s="10"/>
      <c r="AI90" s="10"/>
      <c r="AJ90" s="10"/>
      <c r="AK90" s="10"/>
      <c r="AL90" s="10"/>
      <c r="AM90" s="10"/>
      <c r="AN90" s="10"/>
      <c r="AO90" s="10"/>
    </row>
    <row r="91" spans="1:41" ht="13" x14ac:dyDescent="0.3">
      <c r="A91" s="5"/>
      <c r="B91" s="341" t="s">
        <v>3</v>
      </c>
      <c r="C91" s="342"/>
      <c r="D91" s="342"/>
      <c r="E91" s="342"/>
      <c r="F91" s="342"/>
      <c r="G91" s="342"/>
      <c r="H91" s="342"/>
      <c r="I91" s="342"/>
      <c r="J91" s="353"/>
      <c r="AE91" s="369"/>
      <c r="AF91" s="369"/>
      <c r="AG91" s="10"/>
      <c r="AH91" s="10"/>
      <c r="AI91" s="10"/>
      <c r="AJ91" s="10"/>
      <c r="AK91" s="10"/>
      <c r="AL91" s="10"/>
      <c r="AM91" s="10"/>
      <c r="AN91" s="10"/>
      <c r="AO91" s="10"/>
    </row>
    <row r="92" spans="1:41" ht="13" x14ac:dyDescent="0.3">
      <c r="A92" s="5"/>
      <c r="B92" s="348" t="s">
        <v>8</v>
      </c>
      <c r="C92" s="349">
        <f>(C93*E88)</f>
        <v>39.583333333333329</v>
      </c>
      <c r="D92" s="350" t="s">
        <v>9</v>
      </c>
      <c r="E92" s="351">
        <f>(C84/(SQRT(C92)))</f>
        <v>5.5630358996731841E-2</v>
      </c>
      <c r="F92" s="347" t="s">
        <v>10</v>
      </c>
      <c r="G92" s="352">
        <f>(C92*E84)+(C93*E86)+H84+H85+H86</f>
        <v>415.83333333333326</v>
      </c>
      <c r="H92" s="347"/>
      <c r="I92" s="508"/>
      <c r="J92" s="353"/>
      <c r="AE92" s="369"/>
      <c r="AF92" s="369"/>
      <c r="AG92" s="10"/>
      <c r="AH92" s="10"/>
      <c r="AI92" s="10"/>
      <c r="AJ92" s="10"/>
      <c r="AK92" s="10"/>
      <c r="AL92" s="10"/>
      <c r="AM92" s="10"/>
      <c r="AN92" s="10"/>
      <c r="AO92" s="10"/>
    </row>
    <row r="93" spans="1:41" ht="13.5" thickBot="1" x14ac:dyDescent="0.35">
      <c r="A93" s="5"/>
      <c r="B93" s="348" t="s">
        <v>12</v>
      </c>
      <c r="C93" s="349">
        <f>((C84*C84)+(C86*C86*E88))/(D90*D90*E88)</f>
        <v>79.166666666666657</v>
      </c>
      <c r="D93" s="350" t="s">
        <v>13</v>
      </c>
      <c r="E93" s="355">
        <f>(C86/(SQRT(C93)))</f>
        <v>2.2478059477960655E-2</v>
      </c>
      <c r="F93" s="342"/>
      <c r="G93" s="342"/>
      <c r="H93" s="354"/>
      <c r="I93" s="510"/>
      <c r="J93" s="353"/>
      <c r="AE93" s="369"/>
      <c r="AF93" s="369"/>
      <c r="AG93" s="10"/>
      <c r="AH93" s="10"/>
      <c r="AI93" s="10"/>
      <c r="AJ93" s="10"/>
      <c r="AK93" s="10"/>
      <c r="AL93" s="10"/>
      <c r="AM93" s="10"/>
      <c r="AN93" s="10"/>
      <c r="AO93" s="10"/>
    </row>
    <row r="94" spans="1:41" ht="14" thickTop="1" thickBot="1" x14ac:dyDescent="0.35">
      <c r="A94" s="5"/>
      <c r="B94" s="388"/>
      <c r="C94" s="389"/>
      <c r="D94" s="390" t="s">
        <v>141</v>
      </c>
      <c r="E94" s="391">
        <f>SQRT(E93^2+E92^2)</f>
        <v>6.0000000000000005E-2</v>
      </c>
      <c r="F94" s="389"/>
      <c r="G94" s="389"/>
      <c r="H94" s="389"/>
      <c r="I94" s="389"/>
      <c r="J94" s="511"/>
      <c r="N94" s="533"/>
      <c r="O94" s="533"/>
      <c r="P94" s="36"/>
      <c r="Q94" s="36"/>
      <c r="AE94" s="369"/>
      <c r="AF94" s="369"/>
      <c r="AG94" s="10"/>
      <c r="AH94" s="10"/>
      <c r="AI94" s="10"/>
      <c r="AJ94" s="10"/>
      <c r="AK94" s="10"/>
      <c r="AL94" s="10"/>
      <c r="AM94" s="10"/>
      <c r="AN94" s="10"/>
      <c r="AO94" s="10"/>
    </row>
    <row r="95" spans="1:41" x14ac:dyDescent="0.25">
      <c r="N95" s="533"/>
      <c r="O95" s="533"/>
      <c r="P95" s="36"/>
      <c r="Q95" s="36"/>
      <c r="AE95" s="369"/>
      <c r="AF95" s="369"/>
      <c r="AG95" s="10"/>
      <c r="AH95" s="10"/>
      <c r="AI95" s="10"/>
      <c r="AJ95" s="10"/>
      <c r="AK95" s="10"/>
      <c r="AL95" s="10"/>
      <c r="AM95" s="10"/>
      <c r="AN95" s="10"/>
      <c r="AO95" s="10"/>
    </row>
    <row r="96" spans="1:41" ht="15.5" x14ac:dyDescent="0.35">
      <c r="A96" s="468">
        <v>9</v>
      </c>
      <c r="B96" s="403" t="s">
        <v>218</v>
      </c>
      <c r="C96" s="404"/>
      <c r="D96" s="400"/>
      <c r="E96" s="407" t="s">
        <v>216</v>
      </c>
      <c r="F96" s="1202">
        <v>20</v>
      </c>
      <c r="G96" s="400"/>
      <c r="H96" s="400"/>
      <c r="I96" s="401"/>
      <c r="N96" s="533"/>
      <c r="O96" s="533"/>
      <c r="P96" s="36"/>
      <c r="Q96" s="36"/>
      <c r="AE96" s="369"/>
      <c r="AF96" s="369"/>
      <c r="AG96" s="10"/>
      <c r="AH96" s="10"/>
      <c r="AI96" s="10"/>
      <c r="AJ96" s="10"/>
      <c r="AK96" s="10"/>
      <c r="AL96" s="10"/>
      <c r="AM96" s="10"/>
      <c r="AN96" s="10"/>
      <c r="AO96" s="10"/>
    </row>
    <row r="97" spans="1:45" ht="15.5" x14ac:dyDescent="0.35">
      <c r="B97" s="405" t="s">
        <v>217</v>
      </c>
      <c r="C97" s="406"/>
      <c r="D97" s="402"/>
      <c r="E97" s="408" t="s">
        <v>214</v>
      </c>
      <c r="F97" s="1203">
        <v>30</v>
      </c>
      <c r="G97" s="402"/>
      <c r="H97" s="408" t="s">
        <v>215</v>
      </c>
      <c r="I97" s="897">
        <f>(SQRT(F96)+SQRT(F97))^2</f>
        <v>98.98979485566359</v>
      </c>
      <c r="N97" s="533"/>
      <c r="O97" s="533"/>
      <c r="P97" s="36"/>
      <c r="Q97" s="36"/>
      <c r="AE97" s="369"/>
      <c r="AF97" s="369"/>
      <c r="AG97" s="10"/>
      <c r="AH97" s="10"/>
      <c r="AI97" s="10"/>
      <c r="AJ97" s="10"/>
      <c r="AK97" s="10"/>
      <c r="AL97" s="10"/>
      <c r="AM97" s="10"/>
      <c r="AN97" s="10"/>
      <c r="AO97" s="10"/>
    </row>
    <row r="98" spans="1:45" x14ac:dyDescent="0.25">
      <c r="N98" s="533"/>
      <c r="O98" s="533"/>
      <c r="P98" s="36"/>
      <c r="Q98" s="36"/>
      <c r="AE98" s="369"/>
      <c r="AF98" s="369"/>
      <c r="AG98" s="10"/>
      <c r="AH98" s="10"/>
      <c r="AI98" s="10"/>
      <c r="AJ98" s="10"/>
      <c r="AK98" s="10"/>
      <c r="AL98" s="10"/>
      <c r="AM98" s="10"/>
      <c r="AN98" s="10"/>
      <c r="AO98" s="10"/>
    </row>
    <row r="99" spans="1:45" x14ac:dyDescent="0.25">
      <c r="N99" s="533"/>
      <c r="O99" s="533"/>
      <c r="P99" s="36"/>
      <c r="Q99" s="36"/>
      <c r="AE99" s="369"/>
      <c r="AF99" s="369"/>
      <c r="AG99" s="10"/>
      <c r="AH99" s="10"/>
      <c r="AI99" s="10"/>
      <c r="AJ99" s="10"/>
      <c r="AK99" s="10"/>
      <c r="AL99" s="10"/>
      <c r="AM99" s="10"/>
      <c r="AN99" s="10"/>
      <c r="AO99" s="10"/>
    </row>
    <row r="100" spans="1:45" s="24" customFormat="1" ht="9" customHeight="1" x14ac:dyDescent="0.25">
      <c r="A100" s="451"/>
      <c r="L100" s="530"/>
      <c r="N100" s="534"/>
      <c r="O100" s="534"/>
      <c r="P100" s="485"/>
      <c r="Q100" s="485"/>
      <c r="R100" s="10"/>
      <c r="S100" s="10"/>
      <c r="T100" s="10"/>
      <c r="U100" s="10"/>
      <c r="V100" s="10"/>
      <c r="W100" s="10"/>
      <c r="X100" s="10"/>
      <c r="Y100" s="10"/>
      <c r="Z100" s="10"/>
      <c r="AA100" s="10"/>
      <c r="AB100" s="10"/>
      <c r="AC100" s="10"/>
      <c r="AD100" s="10"/>
      <c r="AE100" s="369"/>
      <c r="AF100" s="369"/>
      <c r="AG100" s="10"/>
      <c r="AH100" s="10"/>
      <c r="AI100" s="10"/>
      <c r="AJ100" s="10"/>
      <c r="AK100" s="10"/>
      <c r="AL100" s="10"/>
      <c r="AM100" s="10"/>
      <c r="AN100" s="10"/>
      <c r="AO100" s="10"/>
      <c r="AP100" s="10"/>
      <c r="AQ100" s="10"/>
      <c r="AR100" s="10"/>
      <c r="AS100" s="10"/>
    </row>
    <row r="101" spans="1:45" ht="13" x14ac:dyDescent="0.3">
      <c r="A101" s="696" t="str">
        <f>+B1</f>
        <v>{2023}</v>
      </c>
      <c r="B101" s="697"/>
      <c r="C101" s="697"/>
      <c r="D101" s="698" t="s">
        <v>255</v>
      </c>
      <c r="E101" s="697"/>
      <c r="F101" s="697"/>
      <c r="G101" s="697"/>
      <c r="H101" s="697"/>
      <c r="J101" s="697"/>
      <c r="M101" s="484"/>
      <c r="AE101" s="369"/>
      <c r="AF101" s="369"/>
      <c r="AG101" s="10"/>
      <c r="AH101" s="10"/>
      <c r="AI101" s="10"/>
      <c r="AJ101" s="10"/>
      <c r="AK101" s="10"/>
      <c r="AL101" s="10"/>
      <c r="AM101" s="10"/>
      <c r="AN101" s="10"/>
      <c r="AO101" s="10"/>
    </row>
    <row r="102" spans="1:45" ht="13" thickBot="1" x14ac:dyDescent="0.3">
      <c r="A102" s="696"/>
      <c r="B102" s="697" t="s">
        <v>3</v>
      </c>
      <c r="C102" s="697"/>
      <c r="D102" s="697"/>
      <c r="E102" s="697"/>
      <c r="F102" s="697"/>
      <c r="G102" s="697" t="s">
        <v>3</v>
      </c>
      <c r="H102" s="697"/>
      <c r="I102" s="697"/>
      <c r="J102" s="697"/>
      <c r="K102" s="697"/>
      <c r="M102" s="484"/>
      <c r="AE102" s="369"/>
      <c r="AF102" s="369"/>
      <c r="AG102" s="10"/>
      <c r="AH102" s="10"/>
      <c r="AI102" s="10"/>
      <c r="AJ102" s="10"/>
      <c r="AK102" s="10"/>
      <c r="AL102" s="10"/>
      <c r="AM102" s="10"/>
      <c r="AN102" s="10"/>
      <c r="AO102" s="10"/>
    </row>
    <row r="103" spans="1:45" ht="13" x14ac:dyDescent="0.3">
      <c r="A103" s="696">
        <f>A1</f>
        <v>1</v>
      </c>
      <c r="B103" s="699"/>
      <c r="C103" s="700"/>
      <c r="D103" s="700"/>
      <c r="E103" s="700"/>
      <c r="F103" s="701"/>
      <c r="G103" s="701"/>
      <c r="H103" s="701"/>
      <c r="I103" s="702"/>
      <c r="J103" s="703"/>
      <c r="K103" s="697"/>
      <c r="M103" s="484"/>
      <c r="AE103" s="369"/>
      <c r="AF103" s="369"/>
      <c r="AG103" s="10"/>
      <c r="AH103" s="10"/>
      <c r="AI103" s="10"/>
      <c r="AJ103" s="10"/>
      <c r="AK103" s="10"/>
      <c r="AL103" s="10"/>
      <c r="AM103" s="10"/>
      <c r="AN103" s="10"/>
      <c r="AO103" s="10"/>
    </row>
    <row r="104" spans="1:45" ht="13" x14ac:dyDescent="0.3">
      <c r="A104" s="696"/>
      <c r="B104" s="704"/>
      <c r="C104" s="705" t="s">
        <v>0</v>
      </c>
      <c r="D104" s="697"/>
      <c r="E104" s="705" t="str">
        <f>E2</f>
        <v xml:space="preserve">   Measurement Costs</v>
      </c>
      <c r="F104" s="697"/>
      <c r="G104" s="697"/>
      <c r="H104" s="705" t="str">
        <f>H2</f>
        <v xml:space="preserve">  Fixed costs:</v>
      </c>
      <c r="I104" s="697"/>
      <c r="J104" s="706"/>
      <c r="K104" s="697"/>
      <c r="M104" s="484"/>
      <c r="AE104" s="369"/>
      <c r="AF104" s="369"/>
      <c r="AG104" s="10"/>
      <c r="AH104" s="10"/>
      <c r="AI104" s="10"/>
      <c r="AJ104" s="10"/>
      <c r="AK104" s="10"/>
      <c r="AL104" s="10"/>
      <c r="AM104" s="10"/>
      <c r="AN104" s="10"/>
      <c r="AO104" s="10"/>
    </row>
    <row r="105" spans="1:45" ht="15.5" x14ac:dyDescent="0.35">
      <c r="A105" s="696"/>
      <c r="B105" s="707" t="str">
        <f>B3</f>
        <v xml:space="preserve">        CV(TC)</v>
      </c>
      <c r="C105" s="708">
        <f>C3</f>
        <v>0.35</v>
      </c>
      <c r="D105" s="697" t="s">
        <v>3</v>
      </c>
      <c r="E105" s="1170">
        <f>E3</f>
        <v>6</v>
      </c>
      <c r="F105" s="697" t="str">
        <f>F3</f>
        <v xml:space="preserve">= Cost (TC) </v>
      </c>
      <c r="G105" s="697"/>
      <c r="H105" s="1171">
        <f>H3</f>
        <v>20</v>
      </c>
      <c r="I105" s="709" t="str">
        <f>I3</f>
        <v>cost #1, perhaps travel to plot</v>
      </c>
      <c r="J105" s="706"/>
      <c r="K105" s="697"/>
      <c r="M105" s="484"/>
    </row>
    <row r="106" spans="1:45" ht="15.5" x14ac:dyDescent="0.35">
      <c r="A106" s="696"/>
      <c r="B106" s="704"/>
      <c r="C106" s="697"/>
      <c r="D106" s="697"/>
      <c r="E106" s="697" t="s">
        <v>3</v>
      </c>
      <c r="F106" s="697"/>
      <c r="G106" s="697"/>
      <c r="H106" s="1171">
        <f>H4</f>
        <v>0</v>
      </c>
      <c r="I106" s="709" t="str">
        <f>I4</f>
        <v>cost #2, other costs PER plot</v>
      </c>
      <c r="J106" s="706"/>
      <c r="K106" s="697"/>
      <c r="M106" s="484"/>
    </row>
    <row r="107" spans="1:45" ht="15.5" x14ac:dyDescent="0.35">
      <c r="A107" s="696"/>
      <c r="B107" s="710" t="str">
        <f>B5</f>
        <v xml:space="preserve">         CV(*BAR)</v>
      </c>
      <c r="C107" s="708">
        <f>C5</f>
        <v>0.2</v>
      </c>
      <c r="D107" s="697" t="s">
        <v>3</v>
      </c>
      <c r="E107" s="1170">
        <f>E5</f>
        <v>2</v>
      </c>
      <c r="F107" s="697" t="str">
        <f>F5</f>
        <v xml:space="preserve">= Cost (*BAR) </v>
      </c>
      <c r="G107" s="697"/>
      <c r="H107" s="1171">
        <f>H5</f>
        <v>0</v>
      </c>
      <c r="I107" s="709" t="str">
        <f>I5</f>
        <v>cost #3, additional  cost/plot</v>
      </c>
      <c r="J107" s="706"/>
      <c r="K107" s="697"/>
      <c r="M107" s="484"/>
    </row>
    <row r="108" spans="1:45" x14ac:dyDescent="0.25">
      <c r="A108" s="696"/>
      <c r="B108" s="704" t="s">
        <v>3</v>
      </c>
      <c r="C108" s="697" t="s">
        <v>3</v>
      </c>
      <c r="D108" s="697" t="s">
        <v>3</v>
      </c>
      <c r="E108" s="697" t="s">
        <v>3</v>
      </c>
      <c r="F108" s="711" t="s">
        <v>3</v>
      </c>
      <c r="G108" s="697" t="s">
        <v>3</v>
      </c>
      <c r="H108" s="868">
        <f>H6</f>
        <v>20</v>
      </c>
      <c r="I108" s="712" t="s">
        <v>88</v>
      </c>
      <c r="J108" s="706"/>
      <c r="K108" s="697"/>
      <c r="M108" s="484"/>
    </row>
    <row r="109" spans="1:45" ht="13" x14ac:dyDescent="0.3">
      <c r="A109" s="696"/>
      <c r="B109" s="713"/>
      <c r="C109" s="697"/>
      <c r="D109" s="714" t="str">
        <f t="shared" ref="D109:F110" si="41">D7</f>
        <v xml:space="preserve">     Ratio for lowest cost answer ==&gt;</v>
      </c>
      <c r="E109" s="847">
        <f t="shared" si="41"/>
        <v>1.0103629710818451</v>
      </c>
      <c r="F109" s="697" t="str">
        <f t="shared" si="41"/>
        <v xml:space="preserve"> TC per *BAR</v>
      </c>
      <c r="G109" s="697"/>
      <c r="H109" s="697"/>
      <c r="I109" s="697" t="s">
        <v>3</v>
      </c>
      <c r="J109" s="706"/>
      <c r="K109" s="697"/>
      <c r="M109" s="484"/>
    </row>
    <row r="110" spans="1:45" x14ac:dyDescent="0.25">
      <c r="A110" s="696"/>
      <c r="B110" s="713"/>
      <c r="C110" s="697"/>
      <c r="D110" s="697" t="str">
        <f t="shared" si="41"/>
        <v>which is =&gt;</v>
      </c>
      <c r="E110" s="863">
        <f t="shared" si="41"/>
        <v>0.98974331861078702</v>
      </c>
      <c r="F110" s="697" t="str">
        <f t="shared" si="41"/>
        <v xml:space="preserve"> *BAR /TC</v>
      </c>
      <c r="G110" s="715"/>
      <c r="H110" s="714" t="str">
        <f>H8</f>
        <v xml:space="preserve">    "Big BAF" Multiplier =</v>
      </c>
      <c r="I110" s="848">
        <f>I8</f>
        <v>6.0621778264910704</v>
      </c>
      <c r="J110" s="706"/>
      <c r="K110" s="697"/>
      <c r="M110" s="484"/>
    </row>
    <row r="111" spans="1:45" ht="15.5" x14ac:dyDescent="0.35">
      <c r="A111" s="696"/>
      <c r="B111" s="710"/>
      <c r="C111" s="716" t="str">
        <f>C9</f>
        <v xml:space="preserve"> 1 Desired SEc% (Total) ==&gt;</v>
      </c>
      <c r="D111" s="1167">
        <f>D9</f>
        <v>0.06</v>
      </c>
      <c r="E111" s="697" t="s">
        <v>3</v>
      </c>
      <c r="F111" s="697"/>
      <c r="G111" s="697" t="s">
        <v>3</v>
      </c>
      <c r="H111" s="697"/>
      <c r="I111" s="697" t="s">
        <v>3</v>
      </c>
      <c r="J111" s="706"/>
      <c r="K111" s="697"/>
      <c r="M111" s="484"/>
    </row>
    <row r="112" spans="1:45" x14ac:dyDescent="0.25">
      <c r="A112" s="696"/>
      <c r="B112" s="704" t="s">
        <v>3</v>
      </c>
      <c r="C112" s="697"/>
      <c r="D112" s="697"/>
      <c r="E112" s="697"/>
      <c r="F112" s="697"/>
      <c r="G112" s="697"/>
      <c r="H112" s="697"/>
      <c r="I112" s="697" t="s">
        <v>3</v>
      </c>
      <c r="J112" s="706"/>
      <c r="K112" s="697"/>
      <c r="M112" s="484"/>
    </row>
    <row r="113" spans="1:13" ht="13.5" customHeight="1" x14ac:dyDescent="0.3">
      <c r="A113" s="696"/>
      <c r="B113" s="717" t="str">
        <f t="shared" ref="B113:I113" si="42">B11</f>
        <v>n points</v>
      </c>
      <c r="C113" s="847">
        <f t="shared" si="42"/>
        <v>45.254033012020493</v>
      </c>
      <c r="D113" s="718" t="str">
        <f t="shared" si="42"/>
        <v>1 SE% (TC)</v>
      </c>
      <c r="E113" s="670">
        <f t="shared" si="42"/>
        <v>5.2028271718295646E-2</v>
      </c>
      <c r="F113" s="714" t="str">
        <f t="shared" si="42"/>
        <v>Total cost=</v>
      </c>
      <c r="G113" s="866">
        <f t="shared" si="42"/>
        <v>381.10395169980148</v>
      </c>
      <c r="H113" s="714" t="str">
        <f t="shared" si="42"/>
        <v>cost/point=</v>
      </c>
      <c r="I113" s="848">
        <f t="shared" si="42"/>
        <v>8.4214361977101948</v>
      </c>
      <c r="J113" s="706"/>
      <c r="K113" s="697"/>
      <c r="M113" s="484"/>
    </row>
    <row r="114" spans="1:13" ht="13.5" thickBot="1" x14ac:dyDescent="0.35">
      <c r="A114" s="696"/>
      <c r="B114" s="719" t="str">
        <f>B12</f>
        <v>n (*BAR)</v>
      </c>
      <c r="C114" s="865">
        <f>C12</f>
        <v>44.789876813839271</v>
      </c>
      <c r="D114" s="720" t="str">
        <f>D12</f>
        <v>SE% (*BAR)</v>
      </c>
      <c r="E114" s="864">
        <f>E12</f>
        <v>2.9884091788227353E-2</v>
      </c>
      <c r="F114" s="721"/>
      <c r="G114" s="721"/>
      <c r="H114" s="722" t="str">
        <f>H12</f>
        <v>"CVac" =&gt;      This is a kind of Total CV for the combination of points and *BAR you are using here</v>
      </c>
      <c r="I114" s="867">
        <f>I12</f>
        <v>0.40362670729682121</v>
      </c>
      <c r="J114" s="723"/>
      <c r="K114" s="697"/>
      <c r="M114" s="484"/>
    </row>
    <row r="115" spans="1:13" ht="13" x14ac:dyDescent="0.3">
      <c r="A115" s="696"/>
      <c r="B115" s="724" t="str">
        <f>B13</f>
        <v>Notes =&gt;</v>
      </c>
      <c r="C115" s="725" t="str">
        <f>C13</f>
        <v>Other notes can go in this area when they apply to the CURRENT run ............................</v>
      </c>
      <c r="D115" s="726"/>
      <c r="E115" s="726"/>
      <c r="F115" s="726"/>
      <c r="G115" s="726"/>
      <c r="H115" s="726"/>
      <c r="I115" s="726"/>
      <c r="J115" s="697"/>
      <c r="K115" s="697"/>
      <c r="M115" s="484"/>
    </row>
    <row r="116" spans="1:13" ht="13" x14ac:dyDescent="0.3">
      <c r="A116" s="696"/>
      <c r="B116" s="724"/>
      <c r="C116" s="727" t="str">
        <f>H9</f>
        <v>notes 1</v>
      </c>
      <c r="D116" s="726"/>
      <c r="E116" s="726"/>
      <c r="F116" s="726"/>
      <c r="G116" s="726"/>
      <c r="H116" s="726"/>
      <c r="I116" s="726"/>
      <c r="J116" s="697"/>
      <c r="K116" s="697"/>
      <c r="M116" s="484"/>
    </row>
    <row r="117" spans="1:13" ht="13" x14ac:dyDescent="0.3">
      <c r="A117" s="696"/>
      <c r="B117" s="724"/>
      <c r="C117" s="727" t="str">
        <f>H10</f>
        <v>notes 2</v>
      </c>
      <c r="D117" s="726"/>
      <c r="E117" s="726"/>
      <c r="F117" s="726"/>
      <c r="G117" s="726"/>
      <c r="H117" s="726"/>
      <c r="I117" s="896">
        <f ca="1">NOW()</f>
        <v>45149.674516898151</v>
      </c>
      <c r="J117" s="697"/>
      <c r="K117" s="697"/>
      <c r="M117" s="484"/>
    </row>
    <row r="118" spans="1:13" ht="13" x14ac:dyDescent="0.3">
      <c r="A118" s="696"/>
      <c r="B118" s="724"/>
      <c r="C118" s="728" t="str">
        <f>I9</f>
        <v>notes 3</v>
      </c>
      <c r="D118" s="726"/>
      <c r="E118" s="726"/>
      <c r="F118" s="726"/>
      <c r="G118" s="726"/>
      <c r="H118" s="726"/>
      <c r="I118" s="726"/>
      <c r="J118" s="697"/>
      <c r="K118" s="697"/>
      <c r="M118" s="484"/>
    </row>
    <row r="119" spans="1:13" ht="13.5" thickBot="1" x14ac:dyDescent="0.35">
      <c r="A119" s="696"/>
      <c r="B119" s="724"/>
      <c r="C119" s="729" t="str">
        <f>I10</f>
        <v>notes 4</v>
      </c>
      <c r="D119" s="726"/>
      <c r="E119" s="726"/>
      <c r="F119" s="726"/>
      <c r="G119" s="726"/>
      <c r="H119" s="726"/>
      <c r="I119" s="726"/>
      <c r="J119" s="697"/>
      <c r="K119" s="697"/>
      <c r="M119" s="484"/>
    </row>
    <row r="120" spans="1:13" ht="13" x14ac:dyDescent="0.3">
      <c r="A120" s="696">
        <f>A14</f>
        <v>2</v>
      </c>
      <c r="B120" s="730" t="str">
        <f>B14</f>
        <v xml:space="preserve">           Other Options Section : (Try any combination)</v>
      </c>
      <c r="C120" s="731"/>
      <c r="D120" s="732"/>
      <c r="E120" s="731"/>
      <c r="F120" s="701"/>
      <c r="G120" s="701" t="str">
        <f>G14</f>
        <v xml:space="preserve">  "BIG BAF multiplier" =</v>
      </c>
      <c r="H120" s="701"/>
      <c r="I120" s="872">
        <f t="shared" ref="I120:I125" si="43">I14</f>
        <v>3</v>
      </c>
      <c r="J120" s="697"/>
      <c r="K120" s="697"/>
      <c r="M120" s="484"/>
    </row>
    <row r="121" spans="1:13" ht="15.5" x14ac:dyDescent="0.35">
      <c r="A121" s="696"/>
      <c r="B121" s="707" t="str">
        <f t="shared" ref="B121:F123" si="44">B15</f>
        <v xml:space="preserve">  n points</v>
      </c>
      <c r="C121" s="1172">
        <f t="shared" si="44"/>
        <v>40</v>
      </c>
      <c r="D121" s="733">
        <f t="shared" si="44"/>
        <v>39.583333333333329</v>
      </c>
      <c r="E121" s="718" t="str">
        <f t="shared" si="44"/>
        <v>SE%(TC)</v>
      </c>
      <c r="F121" s="670">
        <f t="shared" si="44"/>
        <v>5.5339859052946631E-2</v>
      </c>
      <c r="G121" s="734"/>
      <c r="H121" s="735" t="str">
        <f>H15</f>
        <v>Ave TC?=&gt;</v>
      </c>
      <c r="I121" s="1173">
        <f t="shared" si="43"/>
        <v>6</v>
      </c>
      <c r="J121" s="697"/>
      <c r="K121" s="697"/>
      <c r="M121" s="484"/>
    </row>
    <row r="122" spans="1:13" ht="15.5" x14ac:dyDescent="0.35">
      <c r="A122" s="696"/>
      <c r="B122" s="707" t="str">
        <f t="shared" si="44"/>
        <v xml:space="preserve">  n(*BAR)</v>
      </c>
      <c r="C122" s="1172">
        <f t="shared" si="44"/>
        <v>80</v>
      </c>
      <c r="D122" s="733">
        <f t="shared" si="44"/>
        <v>79.166666666666657</v>
      </c>
      <c r="E122" s="735" t="str">
        <f t="shared" si="44"/>
        <v>SE%(*BAR)</v>
      </c>
      <c r="F122" s="670">
        <f t="shared" si="44"/>
        <v>2.2360679774997897E-2</v>
      </c>
      <c r="G122" s="734"/>
      <c r="H122" s="736" t="str">
        <f>H16</f>
        <v>(n*TC) =</v>
      </c>
      <c r="I122" s="873">
        <f t="shared" si="43"/>
        <v>240</v>
      </c>
      <c r="J122" s="697"/>
      <c r="K122" s="697"/>
      <c r="M122" s="484"/>
    </row>
    <row r="123" spans="1:13" ht="13" x14ac:dyDescent="0.3">
      <c r="A123" s="696"/>
      <c r="B123" s="737" t="str">
        <f t="shared" si="44"/>
        <v>Ratio Efficiency</v>
      </c>
      <c r="C123" s="697" t="str">
        <f t="shared" si="44"/>
        <v>Overall</v>
      </c>
      <c r="D123" s="869">
        <f t="shared" si="44"/>
        <v>0.91648244897747866</v>
      </c>
      <c r="E123" s="738" t="str">
        <f t="shared" si="44"/>
        <v>SE%(TOTAL)</v>
      </c>
      <c r="F123" s="870">
        <f t="shared" si="44"/>
        <v>5.9686681931566607E-2</v>
      </c>
      <c r="G123" s="734"/>
      <c r="H123" s="736" t="str">
        <f>H17</f>
        <v xml:space="preserve">Total TC plots =  </v>
      </c>
      <c r="I123" s="874">
        <f t="shared" si="43"/>
        <v>13.333333333333334</v>
      </c>
      <c r="J123" s="697"/>
      <c r="K123" s="697"/>
      <c r="M123" s="484"/>
    </row>
    <row r="124" spans="1:13" ht="13" x14ac:dyDescent="0.3">
      <c r="A124" s="696"/>
      <c r="B124" s="739" t="s">
        <v>3</v>
      </c>
      <c r="C124" s="740" t="str">
        <f>C18</f>
        <v>Field</v>
      </c>
      <c r="D124" s="869">
        <f>D18</f>
        <v>0.91226261482055127</v>
      </c>
      <c r="E124" s="741" t="str">
        <f>E18</f>
        <v>Total Cost =</v>
      </c>
      <c r="F124" s="871">
        <f>F18</f>
        <v>420</v>
      </c>
      <c r="G124" s="734"/>
      <c r="H124" s="736" t="str">
        <f>H18</f>
        <v xml:space="preserve"> $/point=</v>
      </c>
      <c r="I124" s="874">
        <f t="shared" si="43"/>
        <v>10.5</v>
      </c>
      <c r="J124" s="697"/>
      <c r="K124" s="697"/>
      <c r="M124" s="484"/>
    </row>
    <row r="125" spans="1:13" ht="13" thickBot="1" x14ac:dyDescent="0.3">
      <c r="A125" s="696"/>
      <c r="B125" s="742"/>
      <c r="C125" s="721"/>
      <c r="D125" s="721"/>
      <c r="E125" s="743" t="str">
        <f>E19</f>
        <v>Compared to Optimum, Total cost &amp; efficiency ratio is ==&gt;</v>
      </c>
      <c r="F125" s="867">
        <f>F19</f>
        <v>1.1020615192435401</v>
      </c>
      <c r="G125" s="867">
        <f>G19</f>
        <v>0.9073903611900036</v>
      </c>
      <c r="H125" s="744" t="str">
        <f>H19</f>
        <v>"CVac" =&gt;      This is a kind of Total CV for the combination of points and *BAR you are using here</v>
      </c>
      <c r="I125" s="875">
        <f t="shared" si="43"/>
        <v>0.37749172176353751</v>
      </c>
      <c r="J125" s="697"/>
      <c r="K125" s="697"/>
      <c r="M125" s="484"/>
    </row>
    <row r="126" spans="1:13" x14ac:dyDescent="0.25">
      <c r="A126" s="711"/>
      <c r="B126" s="697"/>
      <c r="C126" s="697"/>
      <c r="D126" s="697"/>
      <c r="E126" s="697"/>
      <c r="F126" s="697"/>
      <c r="G126" s="697"/>
      <c r="H126" s="697"/>
      <c r="I126" s="697"/>
      <c r="J126" s="697"/>
      <c r="K126" s="697"/>
      <c r="M126" s="484"/>
    </row>
    <row r="127" spans="1:13" ht="13" thickBot="1" x14ac:dyDescent="0.3">
      <c r="A127" s="711"/>
      <c r="B127" s="697"/>
      <c r="C127" s="697"/>
      <c r="D127" s="697"/>
      <c r="E127" s="697"/>
      <c r="F127" s="697"/>
      <c r="G127" s="697"/>
      <c r="H127" s="697"/>
      <c r="I127" s="697"/>
      <c r="J127" s="697"/>
      <c r="K127" s="697"/>
      <c r="M127" s="484"/>
    </row>
    <row r="128" spans="1:13" ht="13" x14ac:dyDescent="0.3">
      <c r="A128" s="696">
        <f>A22</f>
        <v>3</v>
      </c>
      <c r="B128" s="730" t="str">
        <f>B22</f>
        <v xml:space="preserve">           Full Measure Comparison,  ALL trees measured</v>
      </c>
      <c r="C128" s="732"/>
      <c r="D128" s="732"/>
      <c r="E128" s="732"/>
      <c r="F128" s="732"/>
      <c r="G128" s="732"/>
      <c r="H128" s="745">
        <f>H22</f>
        <v>0</v>
      </c>
      <c r="I128" s="746"/>
      <c r="J128" s="697"/>
      <c r="K128" s="697"/>
      <c r="M128" s="484"/>
    </row>
    <row r="129" spans="1:13" ht="15.5" x14ac:dyDescent="0.35">
      <c r="A129" s="696"/>
      <c r="B129" s="747" t="s">
        <v>3</v>
      </c>
      <c r="C129" s="697" t="str">
        <f t="shared" ref="C129:D131" si="45">C23</f>
        <v>number</v>
      </c>
      <c r="D129" s="697" t="str">
        <f t="shared" si="45"/>
        <v xml:space="preserve">  one SE%</v>
      </c>
      <c r="E129" s="697"/>
      <c r="F129" s="711" t="str">
        <f>F23</f>
        <v>Ratio:</v>
      </c>
      <c r="G129" s="697"/>
      <c r="H129" s="697" t="str">
        <f>H23</f>
        <v>Ave TC?=&gt;</v>
      </c>
      <c r="I129" s="1169">
        <f>I23</f>
        <v>6</v>
      </c>
      <c r="J129" s="697"/>
      <c r="K129" s="697"/>
      <c r="M129" s="484"/>
    </row>
    <row r="130" spans="1:13" ht="13" x14ac:dyDescent="0.3">
      <c r="A130" s="696"/>
      <c r="B130" s="747" t="str">
        <f>B24</f>
        <v># Points</v>
      </c>
      <c r="C130" s="847">
        <f t="shared" si="45"/>
        <v>35.879629629629626</v>
      </c>
      <c r="D130" s="670">
        <f t="shared" si="45"/>
        <v>5.8431100865781203E-2</v>
      </c>
      <c r="E130" s="748" t="str">
        <f>E24</f>
        <v>SE%(TC)</v>
      </c>
      <c r="F130" s="878">
        <f>F24</f>
        <v>0.16666666666666666</v>
      </c>
      <c r="G130" s="697" t="str">
        <f>G24</f>
        <v>TC points/ *BAR measure</v>
      </c>
      <c r="H130" s="697"/>
      <c r="I130" s="706"/>
      <c r="J130" s="697"/>
      <c r="K130" s="697"/>
      <c r="M130" s="484"/>
    </row>
    <row r="131" spans="1:13" ht="13" x14ac:dyDescent="0.3">
      <c r="A131" s="696"/>
      <c r="B131" s="747" t="str">
        <f>B25</f>
        <v># (*BAR)</v>
      </c>
      <c r="C131" s="876">
        <f t="shared" si="45"/>
        <v>215.27777777777777</v>
      </c>
      <c r="D131" s="670">
        <f t="shared" si="45"/>
        <v>1.3631084021929557E-2</v>
      </c>
      <c r="E131" s="709" t="str">
        <f>E25</f>
        <v>SE%(*BAR)</v>
      </c>
      <c r="F131" s="711" t="s">
        <v>3</v>
      </c>
      <c r="G131" s="711" t="s">
        <v>3</v>
      </c>
      <c r="H131" s="711" t="s">
        <v>3</v>
      </c>
      <c r="I131" s="706"/>
      <c r="J131" s="697"/>
      <c r="K131" s="697"/>
      <c r="M131" s="484"/>
    </row>
    <row r="132" spans="1:13" ht="13" x14ac:dyDescent="0.3">
      <c r="A132" s="696"/>
      <c r="B132" s="747" t="s">
        <v>3</v>
      </c>
      <c r="C132" s="750" t="s">
        <v>3</v>
      </c>
      <c r="D132" s="870">
        <f>D26</f>
        <v>0.06</v>
      </c>
      <c r="E132" s="751" t="str">
        <f>E26</f>
        <v>SE%(TOTAL)</v>
      </c>
      <c r="F132" s="711" t="s">
        <v>3</v>
      </c>
      <c r="G132" s="752"/>
      <c r="H132" s="714" t="str">
        <f>H26</f>
        <v>cost / point=</v>
      </c>
      <c r="I132" s="879">
        <f>I26</f>
        <v>18.557419354838711</v>
      </c>
      <c r="J132" s="697"/>
      <c r="K132" s="697"/>
      <c r="M132" s="484"/>
    </row>
    <row r="133" spans="1:13" ht="13" thickBot="1" x14ac:dyDescent="0.3">
      <c r="A133" s="696"/>
      <c r="B133" s="753" t="str">
        <f>B27</f>
        <v>Total cost=</v>
      </c>
      <c r="C133" s="877">
        <f>C27</f>
        <v>665.83333333333326</v>
      </c>
      <c r="D133" s="721" t="s">
        <v>3</v>
      </c>
      <c r="E133" s="754" t="str">
        <f>E27</f>
        <v>Cost Ratio</v>
      </c>
      <c r="F133" s="867">
        <f>F27</f>
        <v>1.7471173688007708</v>
      </c>
      <c r="G133" s="721" t="s">
        <v>95</v>
      </c>
      <c r="H133" s="721"/>
      <c r="I133" s="880">
        <f>I27</f>
        <v>0.57237139178943908</v>
      </c>
      <c r="J133" s="697"/>
      <c r="K133" s="697"/>
      <c r="M133" s="484"/>
    </row>
    <row r="134" spans="1:13" ht="13" thickBot="1" x14ac:dyDescent="0.3">
      <c r="A134" s="696"/>
      <c r="B134" s="697" t="s">
        <v>3</v>
      </c>
      <c r="C134" s="697"/>
      <c r="D134" s="697" t="s">
        <v>3</v>
      </c>
      <c r="E134" s="697"/>
      <c r="F134" s="697" t="s">
        <v>3</v>
      </c>
      <c r="G134" s="697"/>
      <c r="H134" s="697" t="s">
        <v>3</v>
      </c>
      <c r="I134" s="697" t="s">
        <v>3</v>
      </c>
      <c r="J134" s="697" t="s">
        <v>3</v>
      </c>
      <c r="K134" s="697" t="s">
        <v>3</v>
      </c>
      <c r="M134" s="484"/>
    </row>
    <row r="135" spans="1:13" ht="13" x14ac:dyDescent="0.3">
      <c r="A135" s="696">
        <f>A29</f>
        <v>4</v>
      </c>
      <c r="B135" s="730" t="str">
        <f>B29</f>
        <v>Calculation of "Student-t"</v>
      </c>
      <c r="C135" s="755"/>
      <c r="D135" s="755"/>
      <c r="E135" s="755"/>
      <c r="F135" s="756" t="str">
        <f>F29</f>
        <v xml:space="preserve">      Using "t" (C32)</v>
      </c>
      <c r="G135" s="757"/>
      <c r="H135" s="697"/>
      <c r="I135" s="758" t="str">
        <f>I29</f>
        <v xml:space="preserve">  Copied from section 1</v>
      </c>
      <c r="J135" s="746"/>
      <c r="K135" s="759" t="str">
        <f>K29</f>
        <v>n</v>
      </c>
      <c r="M135" s="484"/>
    </row>
    <row r="136" spans="1:13" ht="15.5" x14ac:dyDescent="0.35">
      <c r="A136" s="696"/>
      <c r="B136" s="760" t="str">
        <f t="shared" ref="B136:E137" si="46">B30</f>
        <v xml:space="preserve">  Conf. % =</v>
      </c>
      <c r="C136" s="1167">
        <f t="shared" si="46"/>
        <v>0.75</v>
      </c>
      <c r="D136" s="736" t="str">
        <f t="shared" si="46"/>
        <v xml:space="preserve"> one SE% =</v>
      </c>
      <c r="E136" s="1166">
        <f t="shared" si="46"/>
        <v>0.06</v>
      </c>
      <c r="F136" s="761" t="str">
        <f>F30</f>
        <v>Conf.</v>
      </c>
      <c r="G136" s="762" t="str">
        <f>G30</f>
        <v>(t *  SE%)</v>
      </c>
      <c r="H136" s="697"/>
      <c r="I136" s="763" t="str">
        <f>I30</f>
        <v xml:space="preserve"> one SE%(TC)=</v>
      </c>
      <c r="J136" s="884">
        <f>J30</f>
        <v>5.2028271718295646E-2</v>
      </c>
      <c r="K136" s="874">
        <f>K30</f>
        <v>45.254033012020493</v>
      </c>
      <c r="M136" s="484"/>
    </row>
    <row r="137" spans="1:13" ht="16" thickBot="1" x14ac:dyDescent="0.4">
      <c r="A137" s="696"/>
      <c r="B137" s="717" t="str">
        <f t="shared" si="46"/>
        <v>n =</v>
      </c>
      <c r="C137" s="1168">
        <f t="shared" si="46"/>
        <v>123</v>
      </c>
      <c r="D137" s="736" t="str">
        <f t="shared" si="46"/>
        <v>SE% * t =</v>
      </c>
      <c r="E137" s="670">
        <f t="shared" si="46"/>
        <v>6.9351157864373167E-2</v>
      </c>
      <c r="F137" s="764">
        <f>F31</f>
        <v>0.05</v>
      </c>
      <c r="G137" s="882">
        <f>G31</f>
        <v>3.77015482710734E-3</v>
      </c>
      <c r="H137" s="697"/>
      <c r="I137" s="763" t="str">
        <f>I31</f>
        <v>SE%(*bar)=</v>
      </c>
      <c r="J137" s="884">
        <f>J31</f>
        <v>2.9884091788227353E-2</v>
      </c>
      <c r="K137" s="885">
        <f>K31</f>
        <v>44.789876813839271</v>
      </c>
      <c r="M137" s="484"/>
    </row>
    <row r="138" spans="1:13" ht="13" x14ac:dyDescent="0.3">
      <c r="A138" s="696"/>
      <c r="B138" s="707" t="str">
        <f>B32</f>
        <v>"t" (conf) =</v>
      </c>
      <c r="C138" s="881">
        <f>C32</f>
        <v>1.155852631072886</v>
      </c>
      <c r="D138" s="734"/>
      <c r="E138" s="734"/>
      <c r="F138" s="764">
        <f>F32</f>
        <v>0.5</v>
      </c>
      <c r="G138" s="882">
        <f>G32</f>
        <v>4.0590361791624834E-2</v>
      </c>
      <c r="H138" s="697"/>
      <c r="I138" s="763" t="str">
        <f>I32</f>
        <v>SE%comb=</v>
      </c>
      <c r="J138" s="882">
        <f>J32</f>
        <v>0.06</v>
      </c>
      <c r="K138" s="697"/>
      <c r="M138" s="484"/>
    </row>
    <row r="139" spans="1:13" ht="13.5" thickBot="1" x14ac:dyDescent="0.35">
      <c r="A139" s="696"/>
      <c r="B139" s="765"/>
      <c r="C139" s="754" t="s">
        <v>3</v>
      </c>
      <c r="D139" s="766" t="str">
        <f>D33</f>
        <v>notes and comments</v>
      </c>
      <c r="E139" s="767"/>
      <c r="F139" s="768">
        <f>F33</f>
        <v>0.95</v>
      </c>
      <c r="G139" s="883">
        <f>G33</f>
        <v>0.11877599270919841</v>
      </c>
      <c r="H139" s="697"/>
      <c r="I139" s="769"/>
      <c r="J139" s="723"/>
      <c r="K139" s="697"/>
      <c r="M139" s="484"/>
    </row>
    <row r="140" spans="1:13" ht="13" thickBot="1" x14ac:dyDescent="0.3">
      <c r="A140" s="696"/>
      <c r="B140" s="697"/>
      <c r="C140" s="697"/>
      <c r="D140" s="697"/>
      <c r="E140" s="697"/>
      <c r="F140" s="697"/>
      <c r="G140" s="697"/>
      <c r="H140" s="697"/>
      <c r="I140" s="697"/>
      <c r="J140" s="697"/>
      <c r="K140" s="697"/>
      <c r="M140" s="484"/>
    </row>
    <row r="141" spans="1:13" ht="13.5" thickBot="1" x14ac:dyDescent="0.35">
      <c r="A141" s="696" t="str">
        <f>A35</f>
        <v>5 e</v>
      </c>
      <c r="B141" s="770"/>
      <c r="C141" s="771"/>
      <c r="D141" s="771"/>
      <c r="E141" s="772" t="str">
        <f>E35</f>
        <v>ENGLISH (or "Imperial") UNITS</v>
      </c>
      <c r="F141" s="771"/>
      <c r="G141" s="771"/>
      <c r="H141" s="771"/>
      <c r="I141" s="771"/>
      <c r="J141" s="773"/>
      <c r="K141" s="697"/>
      <c r="M141" s="484"/>
    </row>
    <row r="142" spans="1:13" ht="13.5" thickBot="1" x14ac:dyDescent="0.35">
      <c r="A142" s="696"/>
      <c r="B142" s="774"/>
      <c r="C142" s="771"/>
      <c r="D142" s="771"/>
      <c r="E142" s="771"/>
      <c r="F142" s="775" t="str">
        <f>F36</f>
        <v>Programs to compute BAF and other constants</v>
      </c>
      <c r="G142" s="771"/>
      <c r="H142" s="771" t="str">
        <f>H36</f>
        <v xml:space="preserve"> </v>
      </c>
      <c r="I142" s="771"/>
      <c r="J142" s="776"/>
      <c r="K142" s="697" t="s">
        <v>3</v>
      </c>
      <c r="M142" s="484"/>
    </row>
    <row r="143" spans="1:13" ht="16" thickBot="1" x14ac:dyDescent="0.4">
      <c r="A143" s="696"/>
      <c r="B143" s="777" t="str">
        <f>+B37</f>
        <v xml:space="preserve">  To calibrate an angle gauge</v>
      </c>
      <c r="C143" s="778"/>
      <c r="D143" s="779"/>
      <c r="E143" s="779"/>
      <c r="F143" s="779"/>
      <c r="G143" s="780"/>
      <c r="H143" s="781" t="str">
        <f t="shared" ref="H143:I143" si="47">+H37</f>
        <v xml:space="preserve">     BAF=</v>
      </c>
      <c r="I143" s="1159">
        <f t="shared" si="47"/>
        <v>20</v>
      </c>
      <c r="J143" s="782"/>
      <c r="K143" s="697"/>
      <c r="M143" s="484"/>
    </row>
    <row r="144" spans="1:13" ht="13" x14ac:dyDescent="0.3">
      <c r="A144" s="696"/>
      <c r="B144" s="783"/>
      <c r="C144" s="784" t="str">
        <f t="shared" ref="C144:H144" si="48">+C38</f>
        <v xml:space="preserve">  Width of target =</v>
      </c>
      <c r="D144" s="664">
        <f>+D38</f>
        <v>8.5</v>
      </c>
      <c r="E144" s="665">
        <f t="shared" si="48"/>
        <v>8.5</v>
      </c>
      <c r="F144" s="662">
        <f t="shared" si="48"/>
        <v>8.5</v>
      </c>
      <c r="G144" s="780" t="str">
        <f t="shared" si="48"/>
        <v>inches</v>
      </c>
      <c r="H144" s="785" t="str">
        <f t="shared" si="48"/>
        <v xml:space="preserve"> </v>
      </c>
      <c r="I144" s="697"/>
      <c r="J144" s="786"/>
      <c r="K144" s="697"/>
      <c r="M144" s="484"/>
    </row>
    <row r="145" spans="1:13" ht="13" x14ac:dyDescent="0.3">
      <c r="A145" s="696"/>
      <c r="B145" s="783"/>
      <c r="C145" s="784" t="str">
        <f t="shared" ref="C145:H145" si="49">+C39</f>
        <v xml:space="preserve"> Distance to target =</v>
      </c>
      <c r="D145" s="665">
        <f t="shared" si="49"/>
        <v>19</v>
      </c>
      <c r="E145" s="662">
        <f t="shared" si="49"/>
        <v>18.999999999999996</v>
      </c>
      <c r="F145" s="664">
        <f t="shared" si="49"/>
        <v>19</v>
      </c>
      <c r="G145" s="780" t="str">
        <f t="shared" si="49"/>
        <v>feet</v>
      </c>
      <c r="H145" s="785" t="str">
        <f t="shared" si="49"/>
        <v xml:space="preserve"> </v>
      </c>
      <c r="I145" s="697"/>
      <c r="J145" s="786"/>
      <c r="K145" s="697" t="s">
        <v>3</v>
      </c>
      <c r="M145" s="484"/>
    </row>
    <row r="146" spans="1:13" ht="13.5" thickBot="1" x14ac:dyDescent="0.35">
      <c r="A146" s="696"/>
      <c r="B146" s="787"/>
      <c r="C146" s="788" t="str">
        <f t="shared" ref="C146:G146" si="50">+C40</f>
        <v xml:space="preserve"> BAF=</v>
      </c>
      <c r="D146" s="663">
        <f t="shared" si="50"/>
        <v>15.135474376731306</v>
      </c>
      <c r="E146" s="666">
        <f t="shared" si="50"/>
        <v>15.135474376731306</v>
      </c>
      <c r="F146" s="667">
        <f t="shared" si="50"/>
        <v>15.135474376731306</v>
      </c>
      <c r="G146" s="860" t="str">
        <f t="shared" si="50"/>
        <v>ft2/ac</v>
      </c>
      <c r="H146" s="785"/>
      <c r="I146" s="697"/>
      <c r="J146" s="789"/>
      <c r="K146" s="697"/>
      <c r="M146" s="484"/>
    </row>
    <row r="147" spans="1:13" ht="15.5" x14ac:dyDescent="0.35">
      <c r="A147" s="696"/>
      <c r="B147" s="790"/>
      <c r="C147" s="784" t="str">
        <f t="shared" ref="C147:I147" si="51">+C41</f>
        <v xml:space="preserve">Enter 1 if target is flat </v>
      </c>
      <c r="D147" s="1204">
        <f t="shared" si="51"/>
        <v>0</v>
      </c>
      <c r="E147" s="791"/>
      <c r="F147" s="792"/>
      <c r="G147" s="793" t="str">
        <f t="shared" si="51"/>
        <v>Plot Radius Factor, ctr :</v>
      </c>
      <c r="H147" s="660">
        <f t="shared" si="51"/>
        <v>1.9445436482630056</v>
      </c>
      <c r="I147" s="697" t="str">
        <f t="shared" si="51"/>
        <v>ft. per inch Diameter</v>
      </c>
      <c r="J147" s="706"/>
      <c r="K147" s="697"/>
      <c r="M147" s="484"/>
    </row>
    <row r="148" spans="1:13" ht="13.5" thickBot="1" x14ac:dyDescent="0.35">
      <c r="A148" s="696"/>
      <c r="B148" s="794"/>
      <c r="C148" s="795" t="str">
        <f t="shared" ref="C148:I148" si="52">+C42</f>
        <v>or 0 if target is cylinder</v>
      </c>
      <c r="D148" s="796"/>
      <c r="E148" s="797"/>
      <c r="F148" s="798"/>
      <c r="G148" s="799" t="str">
        <f t="shared" si="52"/>
        <v>Plot Radius Factor, face :</v>
      </c>
      <c r="H148" s="661">
        <f t="shared" si="52"/>
        <v>1.9028769815963389</v>
      </c>
      <c r="I148" s="721" t="str">
        <f t="shared" si="52"/>
        <v>ft. per inch Diameter</v>
      </c>
      <c r="J148" s="723"/>
      <c r="K148" s="697"/>
      <c r="M148" s="484"/>
    </row>
    <row r="149" spans="1:13" ht="14" thickTop="1" thickBot="1" x14ac:dyDescent="0.35">
      <c r="A149" s="696"/>
      <c r="B149" s="785" t="str">
        <f t="shared" ref="B149:I149" si="53">+B43</f>
        <v>Enter PRF</v>
      </c>
      <c r="C149" s="800">
        <f t="shared" si="53"/>
        <v>1.9</v>
      </c>
      <c r="D149" s="801" t="str">
        <f t="shared" si="53"/>
        <v>IF PRFctr</v>
      </c>
      <c r="E149" s="801" t="str">
        <f t="shared" si="53"/>
        <v>IF PRFface</v>
      </c>
      <c r="F149" s="802"/>
      <c r="G149" s="803" t="str">
        <f t="shared" si="53"/>
        <v xml:space="preserve">Enter Diameter =  </v>
      </c>
      <c r="H149" s="804">
        <f t="shared" si="53"/>
        <v>12</v>
      </c>
      <c r="I149" s="805" t="str">
        <f t="shared" si="53"/>
        <v xml:space="preserve">   Inches</v>
      </c>
      <c r="J149" s="706"/>
      <c r="K149" s="697"/>
      <c r="M149" s="484"/>
    </row>
    <row r="150" spans="1:13" ht="13.5" thickBot="1" x14ac:dyDescent="0.35">
      <c r="A150" s="696"/>
      <c r="B150" s="806" t="str">
        <f t="shared" ref="B150:H150" si="54">+B44</f>
        <v xml:space="preserve">   calculate ==&gt;</v>
      </c>
      <c r="C150" s="807" t="str">
        <f t="shared" si="54"/>
        <v>BAF English</v>
      </c>
      <c r="D150" s="657">
        <f t="shared" si="54"/>
        <v>20.948753462603882</v>
      </c>
      <c r="E150" s="1266">
        <f t="shared" si="54"/>
        <v>20.059312199524765</v>
      </c>
      <c r="F150" s="808" t="str">
        <f t="shared" si="54"/>
        <v xml:space="preserve"> borderline at</v>
      </c>
      <c r="G150" s="658">
        <f t="shared" si="54"/>
        <v>23.334523779156068</v>
      </c>
      <c r="H150" s="778" t="str">
        <f t="shared" si="54"/>
        <v xml:space="preserve"> feet, from tree center</v>
      </c>
      <c r="I150" s="697"/>
      <c r="J150" s="706"/>
      <c r="K150" s="697"/>
      <c r="M150" s="484"/>
    </row>
    <row r="151" spans="1:13" ht="13.5" thickBot="1" x14ac:dyDescent="0.35">
      <c r="A151" s="696"/>
      <c r="B151" s="809" t="str">
        <f>K41</f>
        <v xml:space="preserve"> x*y etc A</v>
      </c>
      <c r="C151" s="697" t="str">
        <f t="shared" ref="C151:H151" si="55">+C45</f>
        <v xml:space="preserve"> </v>
      </c>
      <c r="D151" s="1267">
        <f>+D45</f>
        <v>1.0474376731301942</v>
      </c>
      <c r="E151" s="1268">
        <f>+E45</f>
        <v>0.99704315886134076</v>
      </c>
      <c r="F151" s="810" t="str">
        <f t="shared" si="55"/>
        <v xml:space="preserve"> borderline at</v>
      </c>
      <c r="G151" s="659">
        <f t="shared" si="55"/>
        <v>22.834523779156068</v>
      </c>
      <c r="H151" s="811" t="str">
        <f t="shared" si="55"/>
        <v xml:space="preserve"> feet, from tree face</v>
      </c>
      <c r="I151" s="721"/>
      <c r="J151" s="723"/>
      <c r="K151" s="697"/>
      <c r="M151" s="484"/>
    </row>
    <row r="152" spans="1:13" x14ac:dyDescent="0.25">
      <c r="A152" s="696"/>
      <c r="B152" s="809" t="str">
        <f>K42</f>
        <v xml:space="preserve"> x*y etc B</v>
      </c>
      <c r="C152" s="697"/>
      <c r="D152" s="697"/>
      <c r="E152" s="697"/>
      <c r="F152" s="697"/>
      <c r="G152" s="697"/>
      <c r="H152" s="697"/>
      <c r="I152" s="697"/>
      <c r="J152" s="697"/>
      <c r="K152" s="697"/>
      <c r="M152" s="484"/>
    </row>
    <row r="153" spans="1:13" ht="13" thickBot="1" x14ac:dyDescent="0.3">
      <c r="A153" s="697"/>
      <c r="B153" s="697"/>
      <c r="C153" s="697"/>
      <c r="D153" s="697"/>
      <c r="E153" s="697"/>
      <c r="F153" s="697"/>
      <c r="G153" s="697"/>
      <c r="H153" s="697"/>
      <c r="I153" s="697"/>
      <c r="J153" s="697"/>
      <c r="K153" s="697"/>
      <c r="M153" s="484"/>
    </row>
    <row r="154" spans="1:13" ht="13.5" thickBot="1" x14ac:dyDescent="0.35">
      <c r="A154" s="696" t="str">
        <f>+A47</f>
        <v>5 m</v>
      </c>
      <c r="B154" s="770"/>
      <c r="C154" s="771"/>
      <c r="D154" s="771"/>
      <c r="E154" s="772" t="str">
        <f>+E47</f>
        <v>METRIC UNITS</v>
      </c>
      <c r="F154" s="771"/>
      <c r="G154" s="771"/>
      <c r="H154" s="771"/>
      <c r="I154" s="771"/>
      <c r="J154" s="773"/>
      <c r="K154" s="697"/>
      <c r="M154" s="484"/>
    </row>
    <row r="155" spans="1:13" ht="13.5" thickBot="1" x14ac:dyDescent="0.35">
      <c r="A155" s="696"/>
      <c r="B155" s="774"/>
      <c r="C155" s="771" t="str">
        <f>+C48</f>
        <v xml:space="preserve">      Programs to compute BAF and other constants</v>
      </c>
      <c r="D155" s="771"/>
      <c r="E155" s="771"/>
      <c r="F155" s="775"/>
      <c r="G155" s="771"/>
      <c r="H155" s="771"/>
      <c r="I155" s="771"/>
      <c r="J155" s="776"/>
      <c r="K155" s="697"/>
      <c r="M155" s="484"/>
    </row>
    <row r="156" spans="1:13" ht="16" thickBot="1" x14ac:dyDescent="0.4">
      <c r="A156" s="696"/>
      <c r="B156" s="777" t="s">
        <v>157</v>
      </c>
      <c r="C156" s="778"/>
      <c r="D156" s="779"/>
      <c r="E156" s="779"/>
      <c r="F156" s="779"/>
      <c r="G156" s="780"/>
      <c r="H156" s="781" t="str">
        <f t="shared" ref="H156:J156" si="56">+H49</f>
        <v xml:space="preserve">     BAF=</v>
      </c>
      <c r="I156" s="1159">
        <f t="shared" si="56"/>
        <v>4.5913682277318646</v>
      </c>
      <c r="J156" s="782" t="str">
        <f t="shared" si="56"/>
        <v>m2/ha</v>
      </c>
      <c r="K156" s="697"/>
      <c r="M156" s="484"/>
    </row>
    <row r="157" spans="1:13" ht="13" x14ac:dyDescent="0.3">
      <c r="A157" s="696"/>
      <c r="B157" s="783"/>
      <c r="C157" s="784" t="str">
        <f t="shared" ref="C157" si="57">+C50</f>
        <v xml:space="preserve">  Width of target =</v>
      </c>
      <c r="D157" s="665">
        <f>+D50</f>
        <v>21.59</v>
      </c>
      <c r="E157" s="665">
        <f t="shared" ref="E157:G157" si="58">+E50</f>
        <v>7</v>
      </c>
      <c r="F157" s="662">
        <f t="shared" si="58"/>
        <v>8.1575800404122525</v>
      </c>
      <c r="G157" s="780" t="str">
        <f t="shared" si="58"/>
        <v>centimeters</v>
      </c>
      <c r="H157" s="785"/>
      <c r="I157" s="697"/>
      <c r="J157" s="786"/>
      <c r="K157" s="697"/>
      <c r="M157" s="484"/>
    </row>
    <row r="158" spans="1:13" ht="13" x14ac:dyDescent="0.3">
      <c r="A158" s="696"/>
      <c r="B158" s="783"/>
      <c r="C158" s="784" t="str">
        <f t="shared" ref="C158" si="59">+C51</f>
        <v xml:space="preserve"> Distance to target =</v>
      </c>
      <c r="D158" s="665">
        <f t="shared" ref="D158:G158" si="60">+D51</f>
        <v>5.7575757575757578</v>
      </c>
      <c r="E158" s="662">
        <f t="shared" si="60"/>
        <v>0.51485857070275809</v>
      </c>
      <c r="F158" s="665">
        <f t="shared" si="60"/>
        <v>0.6</v>
      </c>
      <c r="G158" s="780" t="str">
        <f t="shared" si="60"/>
        <v>meters</v>
      </c>
      <c r="H158" s="785"/>
      <c r="I158" s="697"/>
      <c r="J158" s="786"/>
      <c r="K158" s="697"/>
      <c r="M158" s="484"/>
    </row>
    <row r="159" spans="1:13" ht="13.5" thickBot="1" x14ac:dyDescent="0.35">
      <c r="A159" s="696"/>
      <c r="B159" s="787"/>
      <c r="C159" s="788" t="str">
        <f t="shared" ref="C159" si="61">+C52</f>
        <v xml:space="preserve"> BAF=</v>
      </c>
      <c r="D159" s="663">
        <f t="shared" ref="D159:G159" si="62">+D52</f>
        <v>3.5153289536011076</v>
      </c>
      <c r="E159" s="666">
        <f t="shared" si="62"/>
        <v>46</v>
      </c>
      <c r="F159" s="666">
        <f t="shared" si="62"/>
        <v>46</v>
      </c>
      <c r="G159" s="860" t="str">
        <f t="shared" si="62"/>
        <v>ft2/ac</v>
      </c>
      <c r="H159" s="785"/>
      <c r="I159" s="697"/>
      <c r="J159" s="789"/>
      <c r="K159" s="697"/>
      <c r="M159" s="484"/>
    </row>
    <row r="160" spans="1:13" ht="13" x14ac:dyDescent="0.3">
      <c r="A160" s="696"/>
      <c r="B160" s="790"/>
      <c r="C160" s="784" t="str">
        <f t="shared" ref="C160:I160" si="63">+C53</f>
        <v>Enter 1 if target is flat</v>
      </c>
      <c r="D160" s="850">
        <f t="shared" si="63"/>
        <v>0</v>
      </c>
      <c r="E160" s="791" t="s">
        <v>3</v>
      </c>
      <c r="F160" s="792"/>
      <c r="G160" s="793" t="str">
        <f t="shared" si="63"/>
        <v>Plot Radius Factor, ctr :</v>
      </c>
      <c r="H160" s="861">
        <f t="shared" si="63"/>
        <v>0.23334523779156066</v>
      </c>
      <c r="I160" s="697" t="str">
        <f t="shared" si="63"/>
        <v>m per cm Diameter</v>
      </c>
      <c r="J160" s="706"/>
      <c r="K160" s="697"/>
      <c r="M160" s="484"/>
    </row>
    <row r="161" spans="1:13" ht="13.5" thickBot="1" x14ac:dyDescent="0.35">
      <c r="A161" s="696"/>
      <c r="B161" s="794"/>
      <c r="C161" s="795" t="str">
        <f t="shared" ref="C161:I161" si="64">+C54</f>
        <v>or 0 if target is cylinder</v>
      </c>
      <c r="D161" s="796" t="s">
        <v>3</v>
      </c>
      <c r="E161" s="797" t="s">
        <v>3</v>
      </c>
      <c r="F161" s="798"/>
      <c r="G161" s="799" t="str">
        <f t="shared" si="64"/>
        <v>Plot Radius Factor, face :</v>
      </c>
      <c r="H161" s="862">
        <f t="shared" si="64"/>
        <v>0.22834523779156066</v>
      </c>
      <c r="I161" s="721" t="str">
        <f t="shared" si="64"/>
        <v>m per cm Diameter</v>
      </c>
      <c r="J161" s="723"/>
      <c r="K161" s="697"/>
      <c r="M161" s="484"/>
    </row>
    <row r="162" spans="1:13" ht="16.5" thickTop="1" thickBot="1" x14ac:dyDescent="0.4">
      <c r="A162" s="696"/>
      <c r="B162" s="785" t="str">
        <f t="shared" ref="B162:I162" si="65">+B55</f>
        <v>Enter PRF</v>
      </c>
      <c r="C162" s="1158">
        <f t="shared" si="65"/>
        <v>0.23</v>
      </c>
      <c r="D162" s="801" t="str">
        <f t="shared" si="65"/>
        <v>if PRFctr</v>
      </c>
      <c r="E162" s="801" t="str">
        <f t="shared" si="65"/>
        <v>if PRFface</v>
      </c>
      <c r="F162" s="802"/>
      <c r="G162" s="803" t="str">
        <f t="shared" si="65"/>
        <v xml:space="preserve">Enter Diameter =  </v>
      </c>
      <c r="H162" s="1157">
        <f t="shared" si="65"/>
        <v>60.96</v>
      </c>
      <c r="I162" s="805" t="str">
        <f t="shared" si="65"/>
        <v xml:space="preserve">   cm</v>
      </c>
      <c r="J162" s="706"/>
      <c r="K162" s="697"/>
      <c r="M162" s="484"/>
    </row>
    <row r="163" spans="1:13" ht="13.5" thickBot="1" x14ac:dyDescent="0.35">
      <c r="A163" s="696"/>
      <c r="B163" s="806" t="str">
        <f t="shared" ref="B163:H164" si="66">+B56</f>
        <v xml:space="preserve">   calculate ==&gt;</v>
      </c>
      <c r="C163" s="807" t="str">
        <f t="shared" si="66"/>
        <v>BAF Metric</v>
      </c>
      <c r="D163" s="657">
        <f t="shared" si="66"/>
        <v>4.7258979206049148</v>
      </c>
      <c r="E163" s="1266">
        <f t="shared" si="66"/>
        <v>4.5269352648257133</v>
      </c>
      <c r="F163" s="808" t="str">
        <f t="shared" si="66"/>
        <v xml:space="preserve"> borderline at</v>
      </c>
      <c r="G163" s="658">
        <f t="shared" si="66"/>
        <v>14.224725695773538</v>
      </c>
      <c r="H163" s="778" t="str">
        <f t="shared" si="66"/>
        <v>meters from tree center</v>
      </c>
      <c r="I163" s="697"/>
      <c r="J163" s="706"/>
      <c r="K163" s="697"/>
      <c r="M163" s="484"/>
    </row>
    <row r="164" spans="1:13" ht="13.5" thickBot="1" x14ac:dyDescent="0.35">
      <c r="A164" s="696"/>
      <c r="B164" s="812" t="str">
        <f>+K53</f>
        <v xml:space="preserve"> x*y etc C</v>
      </c>
      <c r="C164" s="697" t="s">
        <v>3</v>
      </c>
      <c r="D164" s="1267">
        <f t="shared" si="66"/>
        <v>1.0293005671077504</v>
      </c>
      <c r="E164" s="1268">
        <f t="shared" si="66"/>
        <v>1.0142332415059687</v>
      </c>
      <c r="F164" s="810" t="str">
        <f t="shared" ref="F164:G164" si="67">+F57</f>
        <v xml:space="preserve"> borderline at</v>
      </c>
      <c r="G164" s="659">
        <f t="shared" si="67"/>
        <v>13.919925695773538</v>
      </c>
      <c r="H164" s="811" t="str">
        <f t="shared" ref="H164" si="68">+H57</f>
        <v>meters from tree face</v>
      </c>
      <c r="I164" s="721"/>
      <c r="J164" s="723"/>
      <c r="K164" s="697"/>
      <c r="M164" s="484"/>
    </row>
    <row r="165" spans="1:13" x14ac:dyDescent="0.25">
      <c r="A165" s="696"/>
      <c r="B165" s="809" t="str">
        <f>+K54</f>
        <v xml:space="preserve"> x*y etc D</v>
      </c>
      <c r="C165" s="697"/>
      <c r="D165" s="697"/>
      <c r="E165" s="697"/>
      <c r="F165" s="697"/>
      <c r="G165" s="697"/>
      <c r="H165" s="697"/>
      <c r="I165" s="697"/>
      <c r="J165" s="697"/>
      <c r="K165" s="697"/>
      <c r="M165" s="484"/>
    </row>
    <row r="166" spans="1:13" ht="13" thickBot="1" x14ac:dyDescent="0.3">
      <c r="A166" s="696"/>
      <c r="B166" s="697"/>
      <c r="C166" s="697"/>
      <c r="D166" s="697"/>
      <c r="E166" s="697"/>
      <c r="F166" s="697"/>
      <c r="G166" s="697"/>
      <c r="H166" s="697"/>
      <c r="I166" s="697"/>
      <c r="J166" s="697"/>
      <c r="K166" s="697"/>
      <c r="M166" s="484"/>
    </row>
    <row r="167" spans="1:13" ht="13.5" thickBot="1" x14ac:dyDescent="0.35">
      <c r="A167" s="696" t="str">
        <f>A60</f>
        <v>6 e</v>
      </c>
      <c r="B167" s="813"/>
      <c r="C167" s="814"/>
      <c r="D167" s="814" t="s">
        <v>224</v>
      </c>
      <c r="E167" s="771"/>
      <c r="F167" s="814"/>
      <c r="G167" s="815" t="s">
        <v>111</v>
      </c>
      <c r="H167" s="815"/>
      <c r="I167" s="815"/>
      <c r="J167" s="816"/>
      <c r="K167" s="697"/>
      <c r="M167" s="484"/>
    </row>
    <row r="168" spans="1:13" ht="13.5" thickBot="1" x14ac:dyDescent="0.35">
      <c r="A168" s="696"/>
      <c r="B168" s="851" t="str">
        <f>B61</f>
        <v>---- Program to compute equivalent plot size with prism (from tree center) -----</v>
      </c>
      <c r="C168" s="721"/>
      <c r="D168" s="721"/>
      <c r="E168" s="721"/>
      <c r="F168" s="721"/>
      <c r="G168" s="721"/>
      <c r="H168" s="721"/>
      <c r="I168" s="852" t="s">
        <v>3</v>
      </c>
      <c r="J168" s="723"/>
      <c r="K168" s="697"/>
      <c r="M168" s="484"/>
    </row>
    <row r="169" spans="1:13" ht="16" thickBot="1" x14ac:dyDescent="0.4">
      <c r="A169" s="696"/>
      <c r="B169" s="747" t="str">
        <f>B62</f>
        <v>Using BAFe</v>
      </c>
      <c r="C169" s="1161">
        <f>C62</f>
        <v>20</v>
      </c>
      <c r="D169" s="854" t="str">
        <f>D62</f>
        <v xml:space="preserve"> DBH of :</v>
      </c>
      <c r="E169" s="1160">
        <f>E62</f>
        <v>12</v>
      </c>
      <c r="F169" s="855" t="str">
        <f>F62</f>
        <v>inches</v>
      </c>
      <c r="G169" s="856" t="str">
        <f>G62</f>
        <v xml:space="preserve"> </v>
      </c>
      <c r="H169" s="697"/>
      <c r="I169" s="697"/>
      <c r="J169" s="706"/>
      <c r="K169" s="697"/>
      <c r="M169" s="484"/>
    </row>
    <row r="170" spans="1:13" ht="13.5" thickBot="1" x14ac:dyDescent="0.35">
      <c r="A170" s="696"/>
      <c r="B170" s="853" t="s">
        <v>3</v>
      </c>
      <c r="C170" s="817" t="s">
        <v>3</v>
      </c>
      <c r="D170" s="857" t="str">
        <f>D63</f>
        <v>trees/acre</v>
      </c>
      <c r="E170" s="858">
        <f t="shared" ref="E170" si="69">E62</f>
        <v>12</v>
      </c>
      <c r="F170" s="796" t="s">
        <v>3</v>
      </c>
      <c r="G170" s="796" t="s">
        <v>3</v>
      </c>
      <c r="H170" s="849">
        <f>H63</f>
        <v>3.9269874999999996E-2</v>
      </c>
      <c r="I170" s="697" t="str">
        <f>I63</f>
        <v>tree circle, acres</v>
      </c>
      <c r="J170" s="706"/>
      <c r="K170" s="697"/>
      <c r="M170" s="484"/>
    </row>
    <row r="171" spans="1:13" ht="14" thickTop="1" thickBot="1" x14ac:dyDescent="0.35">
      <c r="A171" s="696"/>
      <c r="B171" s="747"/>
      <c r="C171" s="697"/>
      <c r="D171" s="697"/>
      <c r="E171" s="741" t="str">
        <f>E64</f>
        <v xml:space="preserve">  Plot Radius Factor : Face vs. Center of tree</v>
      </c>
      <c r="F171" s="819" t="s">
        <v>170</v>
      </c>
      <c r="G171" s="752"/>
      <c r="H171" s="785" t="s">
        <v>3</v>
      </c>
      <c r="I171" s="697"/>
      <c r="J171" s="706"/>
      <c r="K171" s="697"/>
      <c r="M171" s="484"/>
    </row>
    <row r="172" spans="1:13" ht="13.5" thickBot="1" x14ac:dyDescent="0.35">
      <c r="A172" s="696"/>
      <c r="B172" s="713"/>
      <c r="C172" s="714" t="str">
        <f>C65</f>
        <v>Blow-up Factor(english)</v>
      </c>
      <c r="D172" s="840">
        <f>D65</f>
        <v>2178</v>
      </c>
      <c r="E172" s="714" t="str">
        <f>E65</f>
        <v>PRF,ctr =</v>
      </c>
      <c r="F172" s="839">
        <f t="shared" ref="F172:I173" si="70">F65</f>
        <v>1.9445436482630056</v>
      </c>
      <c r="G172" s="820" t="str">
        <f t="shared" si="70"/>
        <v>ft/inch     ==&gt;</v>
      </c>
      <c r="H172" s="859">
        <f t="shared" si="70"/>
        <v>23.334523779156068</v>
      </c>
      <c r="I172" s="697" t="str">
        <f t="shared" si="70"/>
        <v>feet from center</v>
      </c>
      <c r="J172" s="706"/>
      <c r="K172" s="697"/>
      <c r="M172" s="484"/>
    </row>
    <row r="173" spans="1:13" ht="13.5" thickBot="1" x14ac:dyDescent="0.35">
      <c r="A173" s="696"/>
      <c r="B173" s="821" t="str">
        <f>B66</f>
        <v>angle =</v>
      </c>
      <c r="C173" s="841">
        <f>C66</f>
        <v>2.4555960685207117</v>
      </c>
      <c r="D173" s="822" t="str">
        <f>D66</f>
        <v>degrees</v>
      </c>
      <c r="E173" s="823" t="str">
        <f>E66</f>
        <v>PRF,face =</v>
      </c>
      <c r="F173" s="842">
        <f t="shared" si="70"/>
        <v>1.9028769815963389</v>
      </c>
      <c r="G173" s="824" t="str">
        <f t="shared" si="70"/>
        <v>ft/inch     ==&gt;</v>
      </c>
      <c r="H173" s="859">
        <f t="shared" si="70"/>
        <v>22.834523779156065</v>
      </c>
      <c r="I173" s="721" t="str">
        <f t="shared" si="70"/>
        <v>feet from face</v>
      </c>
      <c r="J173" s="723"/>
      <c r="K173" s="697"/>
      <c r="M173" s="484"/>
    </row>
    <row r="174" spans="1:13" x14ac:dyDescent="0.25">
      <c r="A174" s="696"/>
      <c r="B174" s="809" t="str">
        <f>K64</f>
        <v xml:space="preserve"> x*y etc E</v>
      </c>
      <c r="C174" s="697"/>
      <c r="D174" s="697"/>
      <c r="E174" s="697"/>
      <c r="F174" s="697"/>
      <c r="G174" s="697"/>
      <c r="H174" s="697"/>
      <c r="I174" s="697"/>
      <c r="J174" s="697"/>
      <c r="K174" s="697"/>
      <c r="M174" s="484"/>
    </row>
    <row r="175" spans="1:13" ht="13" thickBot="1" x14ac:dyDescent="0.3">
      <c r="A175" s="696"/>
      <c r="B175" s="697"/>
      <c r="C175" s="697"/>
      <c r="D175" s="697"/>
      <c r="E175" s="697"/>
      <c r="F175" s="697"/>
      <c r="G175" s="697"/>
      <c r="H175" s="697"/>
      <c r="I175" s="697"/>
      <c r="J175" s="697"/>
      <c r="K175" s="697"/>
      <c r="M175" s="484"/>
    </row>
    <row r="176" spans="1:13" ht="13.5" thickBot="1" x14ac:dyDescent="0.35">
      <c r="A176" s="696" t="str">
        <f>+A68</f>
        <v>6 m</v>
      </c>
      <c r="B176" s="825"/>
      <c r="C176" s="826"/>
      <c r="D176" s="826"/>
      <c r="E176" s="827" t="s">
        <v>225</v>
      </c>
      <c r="F176" s="826"/>
      <c r="G176" s="826" t="s">
        <v>254</v>
      </c>
      <c r="H176" s="826"/>
      <c r="I176" s="826"/>
      <c r="J176" s="828"/>
      <c r="K176" s="697"/>
      <c r="M176" s="484"/>
    </row>
    <row r="177" spans="1:13" ht="16" thickBot="1" x14ac:dyDescent="0.4">
      <c r="A177" s="696"/>
      <c r="B177" s="829" t="str">
        <f>B69</f>
        <v>Using BAFm</v>
      </c>
      <c r="C177" s="1161">
        <v>4.5</v>
      </c>
      <c r="D177" s="891" t="str">
        <f>D169</f>
        <v xml:space="preserve"> DBH of :</v>
      </c>
      <c r="E177" s="1162">
        <f>E69</f>
        <v>60.96</v>
      </c>
      <c r="F177" s="886" t="str">
        <f>F69</f>
        <v>cm</v>
      </c>
      <c r="G177" s="886" t="str">
        <f t="shared" ref="G177:I178" si="71">G69</f>
        <v xml:space="preserve"> </v>
      </c>
      <c r="H177" s="846">
        <f t="shared" si="71"/>
        <v>635.67818340238068</v>
      </c>
      <c r="I177" s="830" t="str">
        <f t="shared" si="71"/>
        <v>tree circle, sq meters</v>
      </c>
      <c r="J177" s="831"/>
      <c r="K177" s="697"/>
      <c r="M177" s="484"/>
    </row>
    <row r="178" spans="1:13" ht="13.5" thickBot="1" x14ac:dyDescent="0.35">
      <c r="A178" s="696"/>
      <c r="B178" s="704" t="s">
        <v>3</v>
      </c>
      <c r="C178" s="817" t="s">
        <v>3</v>
      </c>
      <c r="D178" s="857" t="str">
        <f t="shared" ref="D178:F178" si="72">D70</f>
        <v>trees/ha =</v>
      </c>
      <c r="E178" s="858">
        <f t="shared" si="72"/>
        <v>15.731230457645037</v>
      </c>
      <c r="F178" s="892" t="str">
        <f t="shared" si="72"/>
        <v xml:space="preserve"> </v>
      </c>
      <c r="G178" s="893" t="str">
        <f t="shared" si="71"/>
        <v>or</v>
      </c>
      <c r="H178" s="890">
        <f t="shared" si="71"/>
        <v>6.3567818340238072E-2</v>
      </c>
      <c r="I178" s="830" t="str">
        <f t="shared" si="71"/>
        <v>tree circle, hectares</v>
      </c>
      <c r="J178" s="831"/>
      <c r="K178" s="697"/>
      <c r="M178" s="484"/>
    </row>
    <row r="179" spans="1:13" ht="13.5" thickTop="1" x14ac:dyDescent="0.3">
      <c r="A179" s="696"/>
      <c r="B179" s="704"/>
      <c r="C179" s="830"/>
      <c r="D179" s="830"/>
      <c r="E179" s="736" t="str">
        <f t="shared" ref="E179:E181" si="73">E71</f>
        <v xml:space="preserve">  Plot Radius Factor : Face vs. Center of tree</v>
      </c>
      <c r="F179" s="832" t="str">
        <f>F71</f>
        <v>Metric</v>
      </c>
      <c r="G179" s="830" t="s">
        <v>3</v>
      </c>
      <c r="H179" s="887"/>
      <c r="I179" s="830"/>
      <c r="J179" s="831"/>
      <c r="K179" s="697"/>
      <c r="M179" s="484"/>
    </row>
    <row r="180" spans="1:13" ht="13" x14ac:dyDescent="0.3">
      <c r="A180" s="696"/>
      <c r="B180" s="833"/>
      <c r="C180" s="818" t="str">
        <f>C72</f>
        <v>Blow-up Factor (metric)</v>
      </c>
      <c r="D180" s="749">
        <f>D72</f>
        <v>2177.9999999999995</v>
      </c>
      <c r="E180" s="818" t="str">
        <f t="shared" si="73"/>
        <v>PRF, ctr =</v>
      </c>
      <c r="F180" s="844">
        <f>F72</f>
        <v>0.23334523779156066</v>
      </c>
      <c r="G180" s="820" t="str">
        <f>G72</f>
        <v xml:space="preserve"> m/cm     ==&gt;</v>
      </c>
      <c r="H180" s="888">
        <f>H72</f>
        <v>14.224725695773538</v>
      </c>
      <c r="I180" s="728" t="str">
        <f>I72</f>
        <v>meters from center</v>
      </c>
      <c r="J180" s="831"/>
      <c r="K180" s="697"/>
      <c r="M180" s="484"/>
    </row>
    <row r="181" spans="1:13" ht="13.5" thickBot="1" x14ac:dyDescent="0.35">
      <c r="A181" s="696"/>
      <c r="B181" s="834" t="str">
        <f>B73</f>
        <v>angle =</v>
      </c>
      <c r="C181" s="843">
        <f>C73</f>
        <v>2.4555960685207121</v>
      </c>
      <c r="D181" s="835" t="str">
        <f>D73</f>
        <v>degrees</v>
      </c>
      <c r="E181" s="836" t="str">
        <f t="shared" si="73"/>
        <v>PRF, face =</v>
      </c>
      <c r="F181" s="845">
        <f>F73</f>
        <v>0.22834523779156066</v>
      </c>
      <c r="G181" s="824" t="s">
        <v>288</v>
      </c>
      <c r="H181" s="889">
        <f>H73</f>
        <v>13.919925695773538</v>
      </c>
      <c r="I181" s="837" t="str">
        <f>I73</f>
        <v>meters from face</v>
      </c>
      <c r="J181" s="838"/>
      <c r="K181" s="752"/>
      <c r="M181" s="484"/>
    </row>
    <row r="182" spans="1:13" x14ac:dyDescent="0.25">
      <c r="A182" s="696"/>
      <c r="B182" s="809" t="str">
        <f>K71</f>
        <v xml:space="preserve"> x*y etc F</v>
      </c>
      <c r="C182" s="697"/>
      <c r="D182" s="697"/>
      <c r="E182" s="697"/>
      <c r="F182" s="697"/>
      <c r="G182" s="697"/>
      <c r="H182" s="697"/>
      <c r="I182" s="697"/>
      <c r="J182" s="697"/>
      <c r="K182" s="697"/>
      <c r="M182" s="484"/>
    </row>
    <row r="183" spans="1:13" ht="13" thickBot="1" x14ac:dyDescent="0.3">
      <c r="A183" s="696"/>
      <c r="B183" s="697"/>
      <c r="C183" s="697"/>
      <c r="D183" s="697"/>
      <c r="E183" s="697"/>
      <c r="F183" s="697"/>
      <c r="G183" s="697"/>
      <c r="H183" s="697"/>
      <c r="I183" s="697"/>
      <c r="J183" s="697"/>
      <c r="K183" s="697"/>
      <c r="M183" s="484"/>
    </row>
    <row r="184" spans="1:13" ht="13" x14ac:dyDescent="0.3">
      <c r="A184" s="449">
        <f>A76</f>
        <v>7</v>
      </c>
      <c r="B184" s="311" t="str">
        <f>B76</f>
        <v xml:space="preserve">ROUGH Calculation if CV *BAR not available, but you have (SE% overall) </v>
      </c>
      <c r="C184" s="240"/>
      <c r="D184" s="240"/>
      <c r="E184" s="240"/>
      <c r="F184" s="240"/>
      <c r="G184" s="240"/>
      <c r="H184" s="312"/>
      <c r="M184" s="484"/>
    </row>
    <row r="185" spans="1:13" ht="13.5" thickBot="1" x14ac:dyDescent="0.35">
      <c r="B185" s="317" t="s">
        <v>3</v>
      </c>
      <c r="C185" s="28"/>
      <c r="D185" s="28"/>
      <c r="E185" s="28"/>
      <c r="F185" s="28"/>
      <c r="G185" s="28" t="str">
        <f>G77</f>
        <v>(Implied)</v>
      </c>
      <c r="H185" s="313"/>
      <c r="M185" s="484"/>
    </row>
    <row r="186" spans="1:13" ht="14.25" customHeight="1" thickBot="1" x14ac:dyDescent="0.35">
      <c r="B186" s="377" t="str">
        <f t="shared" ref="B186:G186" si="74">B78</f>
        <v>SE%,BA =</v>
      </c>
      <c r="C186" s="552">
        <f t="shared" si="74"/>
        <v>5.5339859052946631E-2</v>
      </c>
      <c r="D186" s="241" t="str">
        <f t="shared" si="74"/>
        <v>#  points</v>
      </c>
      <c r="E186" s="547">
        <f t="shared" si="74"/>
        <v>40</v>
      </c>
      <c r="F186" s="241" t="str">
        <f t="shared" si="74"/>
        <v xml:space="preserve"> CV, BA</v>
      </c>
      <c r="G186" s="380">
        <f t="shared" si="74"/>
        <v>0.35</v>
      </c>
      <c r="H186" s="313" t="s">
        <v>81</v>
      </c>
      <c r="M186" s="484"/>
    </row>
    <row r="187" spans="1:13" ht="16" thickBot="1" x14ac:dyDescent="0.4">
      <c r="B187" s="377" t="str">
        <f t="shared" ref="B187:G187" si="75">B79</f>
        <v>SE%,*BAR =</v>
      </c>
      <c r="C187" s="381">
        <f t="shared" si="75"/>
        <v>2.2360679774997907E-2</v>
      </c>
      <c r="D187" s="241" t="str">
        <f t="shared" si="75"/>
        <v># *BARs</v>
      </c>
      <c r="E187" s="1163">
        <f t="shared" si="75"/>
        <v>80</v>
      </c>
      <c r="F187" s="237" t="str">
        <f t="shared" si="75"/>
        <v>CV, *BAR</v>
      </c>
      <c r="G187" s="379">
        <f t="shared" si="75"/>
        <v>0.20000000000000009</v>
      </c>
      <c r="H187" s="313" t="s">
        <v>81</v>
      </c>
      <c r="M187" s="484"/>
    </row>
    <row r="188" spans="1:13" ht="13" thickBot="1" x14ac:dyDescent="0.3">
      <c r="B188" s="378" t="str">
        <f>B80</f>
        <v>SE%,Total =</v>
      </c>
      <c r="C188" s="384">
        <f>C80</f>
        <v>5.9686681931566607E-2</v>
      </c>
      <c r="D188" s="315"/>
      <c r="E188" s="315"/>
      <c r="F188" s="315"/>
      <c r="G188" s="315"/>
      <c r="H188" s="314"/>
      <c r="M188" s="484"/>
    </row>
    <row r="189" spans="1:13" ht="13" thickBot="1" x14ac:dyDescent="0.3">
      <c r="M189" s="484"/>
    </row>
    <row r="190" spans="1:13" ht="13.5" thickBot="1" x14ac:dyDescent="0.35">
      <c r="A190" s="449">
        <f>A82</f>
        <v>8</v>
      </c>
      <c r="B190" s="480" t="str">
        <f>B82</f>
        <v>*** Optimum Calculation of TC vs. *BAR plots Using your test number ratio from section 2</v>
      </c>
      <c r="C190" s="481"/>
      <c r="D190" s="481"/>
      <c r="E190" s="481"/>
      <c r="F190" s="481"/>
      <c r="G190" s="481"/>
      <c r="H190" s="481"/>
      <c r="I190" s="481"/>
      <c r="J190" s="482"/>
      <c r="M190" s="484"/>
    </row>
    <row r="191" spans="1:13" x14ac:dyDescent="0.25">
      <c r="B191" s="224"/>
      <c r="C191" s="28" t="str">
        <f>C83</f>
        <v>Variability</v>
      </c>
      <c r="D191" s="28"/>
      <c r="E191" s="28" t="str">
        <f>E83</f>
        <v xml:space="preserve">   Measurement Costs</v>
      </c>
      <c r="F191" s="28"/>
      <c r="G191" s="28"/>
      <c r="H191" s="28" t="str">
        <f>H83</f>
        <v xml:space="preserve">  Fixed costs:</v>
      </c>
      <c r="I191" s="28"/>
      <c r="J191" s="313"/>
      <c r="M191" s="484"/>
    </row>
    <row r="192" spans="1:13" ht="13" x14ac:dyDescent="0.3">
      <c r="B192" s="376" t="str">
        <f>B84</f>
        <v xml:space="preserve">  CV(TC) =</v>
      </c>
      <c r="C192" s="553">
        <f>C84</f>
        <v>0.35</v>
      </c>
      <c r="D192" s="28" t="s">
        <v>3</v>
      </c>
      <c r="E192" s="330">
        <f>E84</f>
        <v>6</v>
      </c>
      <c r="F192" s="28" t="str">
        <f>F84</f>
        <v xml:space="preserve">= Cost (TC) </v>
      </c>
      <c r="G192" s="28"/>
      <c r="H192" s="331">
        <f>H84</f>
        <v>20</v>
      </c>
      <c r="I192" s="554" t="str">
        <f>I84</f>
        <v>cost #1, perhaps travel to plot</v>
      </c>
      <c r="J192" s="555"/>
      <c r="M192" s="484"/>
    </row>
    <row r="193" spans="1:13" ht="13" x14ac:dyDescent="0.3">
      <c r="B193" s="376"/>
      <c r="C193" s="28"/>
      <c r="D193" s="28"/>
      <c r="E193" s="28" t="s">
        <v>3</v>
      </c>
      <c r="F193" s="28"/>
      <c r="G193" s="28"/>
      <c r="H193" s="331">
        <f>H85</f>
        <v>0</v>
      </c>
      <c r="I193" s="554" t="str">
        <f>I85</f>
        <v>cost #2, other costs PER plot</v>
      </c>
      <c r="J193" s="555"/>
      <c r="M193" s="484"/>
    </row>
    <row r="194" spans="1:13" ht="13.5" thickBot="1" x14ac:dyDescent="0.35">
      <c r="A194" s="5"/>
      <c r="B194" s="387" t="str">
        <f>B86</f>
        <v xml:space="preserve">  CV(*BAR) =</v>
      </c>
      <c r="C194" s="553">
        <f>C86</f>
        <v>0.2</v>
      </c>
      <c r="D194" s="28" t="s">
        <v>3</v>
      </c>
      <c r="E194" s="330">
        <f>E86</f>
        <v>2</v>
      </c>
      <c r="F194" s="28" t="str">
        <f>F86</f>
        <v xml:space="preserve">= Cost (*BAR) </v>
      </c>
      <c r="G194" s="28"/>
      <c r="H194" s="556">
        <f>H86</f>
        <v>0</v>
      </c>
      <c r="I194" s="554" t="str">
        <f>I86</f>
        <v>cost #3, additional  cost/plot</v>
      </c>
      <c r="J194" s="555"/>
      <c r="M194" s="484"/>
    </row>
    <row r="195" spans="1:13" ht="13" thickTop="1" x14ac:dyDescent="0.25">
      <c r="A195" s="5"/>
      <c r="B195" s="224" t="s">
        <v>3</v>
      </c>
      <c r="C195" s="28" t="s">
        <v>3</v>
      </c>
      <c r="D195" s="28" t="s">
        <v>3</v>
      </c>
      <c r="E195" s="28" t="s">
        <v>3</v>
      </c>
      <c r="F195" s="330" t="s">
        <v>3</v>
      </c>
      <c r="G195" s="28" t="s">
        <v>3</v>
      </c>
      <c r="H195" s="331">
        <f>H87</f>
        <v>20</v>
      </c>
      <c r="I195" s="477" t="str">
        <f>I87</f>
        <v>= total</v>
      </c>
      <c r="J195" s="332"/>
      <c r="M195" s="484"/>
    </row>
    <row r="196" spans="1:13" ht="13.5" thickBot="1" x14ac:dyDescent="0.35">
      <c r="A196" s="5"/>
      <c r="B196" s="224"/>
      <c r="C196" s="28"/>
      <c r="D196" s="238" t="str">
        <f>D88</f>
        <v xml:space="preserve">     Ratio for your CHOICE ==&gt;</v>
      </c>
      <c r="E196" s="669">
        <f>E88</f>
        <v>0.5</v>
      </c>
      <c r="F196" s="28" t="str">
        <f>F88</f>
        <v>TC per *BAR</v>
      </c>
      <c r="G196" s="28"/>
      <c r="H196" s="28"/>
      <c r="I196" s="28"/>
      <c r="J196" s="313"/>
      <c r="M196" s="484"/>
    </row>
    <row r="197" spans="1:13" ht="13" x14ac:dyDescent="0.3">
      <c r="A197" s="5"/>
      <c r="B197" s="224"/>
      <c r="C197" s="28"/>
      <c r="D197" s="28"/>
      <c r="E197" s="311"/>
      <c r="F197" s="503"/>
      <c r="G197" s="504" t="str">
        <f>G89</f>
        <v>using your entered number TC =</v>
      </c>
      <c r="H197" s="505">
        <f>H89</f>
        <v>40</v>
      </c>
      <c r="I197" s="28"/>
      <c r="J197" s="313"/>
      <c r="M197" s="484"/>
    </row>
    <row r="198" spans="1:13" ht="13.5" thickBot="1" x14ac:dyDescent="0.35">
      <c r="A198" s="5"/>
      <c r="B198" s="231" t="str">
        <f>B90</f>
        <v xml:space="preserve">  Desired SEc% (Total)==&gt;</v>
      </c>
      <c r="C198" s="28"/>
      <c r="D198" s="670">
        <f>D90</f>
        <v>0.06</v>
      </c>
      <c r="E198" s="316" t="s">
        <v>3</v>
      </c>
      <c r="F198" s="315"/>
      <c r="G198" s="506" t="str">
        <f>G90</f>
        <v>*BAR =</v>
      </c>
      <c r="H198" s="507">
        <f>H90</f>
        <v>80</v>
      </c>
      <c r="I198" s="28"/>
      <c r="J198" s="313"/>
      <c r="M198" s="484"/>
    </row>
    <row r="199" spans="1:13" x14ac:dyDescent="0.25">
      <c r="A199" s="5"/>
      <c r="B199" s="224" t="s">
        <v>3</v>
      </c>
      <c r="C199" s="28"/>
      <c r="D199" s="28"/>
      <c r="E199" s="28"/>
      <c r="F199" s="28"/>
      <c r="G199" s="28"/>
      <c r="H199" s="28"/>
      <c r="I199" s="28"/>
      <c r="J199" s="313"/>
      <c r="M199" s="484"/>
    </row>
    <row r="200" spans="1:13" ht="13" x14ac:dyDescent="0.3">
      <c r="A200" s="5"/>
      <c r="B200" s="225" t="str">
        <f t="shared" ref="B200:G200" si="76">B92</f>
        <v>n points</v>
      </c>
      <c r="C200" s="669">
        <f t="shared" si="76"/>
        <v>39.583333333333329</v>
      </c>
      <c r="D200" s="236" t="str">
        <f t="shared" si="76"/>
        <v>SE%(TC)</v>
      </c>
      <c r="E200" s="670">
        <f t="shared" si="76"/>
        <v>5.5630358996731841E-2</v>
      </c>
      <c r="F200" s="241" t="str">
        <f t="shared" si="76"/>
        <v>Total $</v>
      </c>
      <c r="G200" s="669">
        <f t="shared" si="76"/>
        <v>415.83333333333326</v>
      </c>
      <c r="H200" s="241"/>
      <c r="I200" s="478"/>
      <c r="J200" s="334"/>
      <c r="M200" s="484"/>
    </row>
    <row r="201" spans="1:13" ht="13.5" thickBot="1" x14ac:dyDescent="0.35">
      <c r="A201" s="5"/>
      <c r="B201" s="225" t="str">
        <f>B93</f>
        <v>n (*BAR)</v>
      </c>
      <c r="C201" s="669">
        <f>C93</f>
        <v>79.166666666666657</v>
      </c>
      <c r="D201" s="236" t="str">
        <f>D93</f>
        <v>SE%(*BAR)</v>
      </c>
      <c r="E201" s="894">
        <f>E93</f>
        <v>2.2478059477960655E-2</v>
      </c>
      <c r="F201" s="28"/>
      <c r="G201" s="28"/>
      <c r="H201" s="392"/>
      <c r="I201" s="479"/>
      <c r="J201" s="393"/>
      <c r="M201" s="484"/>
    </row>
    <row r="202" spans="1:13" ht="13.5" thickTop="1" thickBot="1" x14ac:dyDescent="0.3">
      <c r="A202" s="5"/>
      <c r="B202" s="316"/>
      <c r="C202" s="315"/>
      <c r="D202" s="394" t="str">
        <f>D94</f>
        <v>SE% Total</v>
      </c>
      <c r="E202" s="383">
        <f>E94</f>
        <v>6.0000000000000005E-2</v>
      </c>
      <c r="F202" s="315"/>
      <c r="G202" s="315"/>
      <c r="H202" s="315"/>
      <c r="I202" s="315"/>
      <c r="J202" s="314"/>
      <c r="M202" s="484"/>
    </row>
    <row r="203" spans="1:13" x14ac:dyDescent="0.25">
      <c r="M203" s="484"/>
    </row>
    <row r="204" spans="1:13" ht="15.5" x14ac:dyDescent="0.35">
      <c r="A204" s="449">
        <f>A96</f>
        <v>9</v>
      </c>
      <c r="B204" s="409" t="str">
        <f>B96</f>
        <v xml:space="preserve">    If you need to combine prisms,</v>
      </c>
      <c r="C204" s="410"/>
      <c r="D204" s="411"/>
      <c r="E204" s="412" t="str">
        <f>E96</f>
        <v>BAF #1</v>
      </c>
      <c r="F204" s="1164">
        <f>F96</f>
        <v>20</v>
      </c>
      <c r="G204" s="411"/>
      <c r="H204" s="411" t="s">
        <v>3</v>
      </c>
      <c r="I204" s="413"/>
      <c r="M204" s="484"/>
    </row>
    <row r="205" spans="1:13" ht="15.5" x14ac:dyDescent="0.35">
      <c r="B205" s="414" t="str">
        <f>B97</f>
        <v xml:space="preserve">    this is the resulting BAF</v>
      </c>
      <c r="C205" s="415"/>
      <c r="D205" s="416"/>
      <c r="E205" s="417" t="str">
        <f>E97</f>
        <v>BAF #2</v>
      </c>
      <c r="F205" s="1165">
        <f>F97</f>
        <v>30</v>
      </c>
      <c r="G205" s="416"/>
      <c r="H205" s="417" t="str">
        <f>H97</f>
        <v>Combined BAF =</v>
      </c>
      <c r="I205" s="423">
        <f>I97</f>
        <v>98.98979485566359</v>
      </c>
      <c r="M205" s="484"/>
    </row>
    <row r="206" spans="1:13" x14ac:dyDescent="0.25">
      <c r="M206" s="484"/>
    </row>
    <row r="207" spans="1:13" x14ac:dyDescent="0.25">
      <c r="A207" s="483"/>
      <c r="B207" s="484"/>
      <c r="C207" s="484"/>
      <c r="D207" s="484"/>
      <c r="E207" s="484"/>
      <c r="F207" s="484"/>
      <c r="G207" s="484"/>
      <c r="H207" s="484"/>
      <c r="I207" s="484"/>
      <c r="J207" s="484"/>
      <c r="K207" s="484"/>
      <c r="L207" s="531"/>
      <c r="M207" s="484"/>
    </row>
  </sheetData>
  <sheetProtection formatCells="0" formatColumns="0" formatRows="0"/>
  <phoneticPr fontId="66" type="noConversion"/>
  <printOptions headings="1"/>
  <pageMargins left="0.25" right="0.25" top="0.75" bottom="0.75" header="0.3" footer="0.3"/>
  <pageSetup scale="81" fitToHeight="0" orientation="portrait" horizontalDpi="300" verticalDpi="300" r:id="rId1"/>
  <headerFooter alignWithMargins="0">
    <oddHeader>&amp;CPrepared using an EXCEL program by Kim Iles &amp;&amp; Associates,  &amp;D&amp;RPage &amp;P</oddHeader>
  </headerFooter>
  <rowBreaks count="1" manualBreakCount="1">
    <brk id="153" max="11" man="1"/>
  </rowBreaks>
  <ignoredErrors>
    <ignoredError sqref="H84:I84 H85:I86 E84:E86 B164:B165 H149 H162 C55 D50:D51 C62 E62 C69" unlockedFormula="1"/>
    <ignoredError sqref="D177" formula="1"/>
  </ignoredErrors>
  <drawing r:id="rId2"/>
  <legacyDrawing r:id="rId3"/>
  <oleObjects>
    <mc:AlternateContent xmlns:mc="http://schemas.openxmlformats.org/markup-compatibility/2006">
      <mc:Choice Requires="x14">
        <oleObject progId="Document" dvAspect="DVASPECT_ICON" shapeId="11648" r:id="rId4">
          <objectPr locked="0" defaultSize="0" autoPict="0" r:id="rId5">
            <anchor moveWithCells="1">
              <from>
                <xdr:col>11</xdr:col>
                <xdr:colOff>476250</xdr:colOff>
                <xdr:row>6</xdr:row>
                <xdr:rowOff>69850</xdr:rowOff>
              </from>
              <to>
                <xdr:col>12</xdr:col>
                <xdr:colOff>596900</xdr:colOff>
                <xdr:row>9</xdr:row>
                <xdr:rowOff>107950</xdr:rowOff>
              </to>
            </anchor>
          </objectPr>
        </oleObject>
      </mc:Choice>
      <mc:Fallback>
        <oleObject progId="Document" dvAspect="DVASPECT_ICON" shapeId="1164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219"/>
  <sheetViews>
    <sheetView topLeftCell="A31" workbookViewId="0">
      <selection activeCell="A80" sqref="A80"/>
    </sheetView>
  </sheetViews>
  <sheetFormatPr defaultRowHeight="12.5" x14ac:dyDescent="0.25"/>
  <cols>
    <col min="1" max="1" width="7.90625" customWidth="1"/>
    <col min="2" max="2" width="10.54296875" customWidth="1"/>
    <col min="7" max="7" width="8.90625" customWidth="1"/>
    <col min="8" max="8" width="5.453125" style="48" customWidth="1"/>
    <col min="11" max="11" width="10.6328125" customWidth="1"/>
    <col min="24" max="24" width="9.36328125" style="467" customWidth="1"/>
    <col min="25" max="27" width="9.08984375" style="467" customWidth="1"/>
  </cols>
  <sheetData>
    <row r="1" spans="1:27" s="486" customFormat="1" x14ac:dyDescent="0.25">
      <c r="X1" s="487"/>
      <c r="Y1" s="487"/>
      <c r="Z1" s="487"/>
      <c r="AA1" s="487"/>
    </row>
    <row r="2" spans="1:27" s="486" customFormat="1" x14ac:dyDescent="0.25">
      <c r="X2" s="487" t="s">
        <v>237</v>
      </c>
      <c r="Y2" s="487" t="s">
        <v>238</v>
      </c>
      <c r="Z2" s="488" t="s">
        <v>239</v>
      </c>
      <c r="AA2" s="488" t="s">
        <v>240</v>
      </c>
    </row>
    <row r="3" spans="1:27" s="486" customFormat="1" x14ac:dyDescent="0.25">
      <c r="X3" s="489">
        <f>(R$25/Z3)^2</f>
        <v>191406.24999999994</v>
      </c>
      <c r="Y3" s="489">
        <f>(R$26/AA3)^2</f>
        <v>25.010004001600649</v>
      </c>
      <c r="Z3" s="488">
        <f>R$28/50</f>
        <v>8.0000000000000004E-4</v>
      </c>
      <c r="AA3" s="488">
        <f>SQRT(R$28^2-Z3^2)</f>
        <v>3.9991999199839957E-2</v>
      </c>
    </row>
    <row r="4" spans="1:27" s="486" customFormat="1" x14ac:dyDescent="0.25">
      <c r="X4" s="489">
        <f t="shared" ref="X4:X23" si="0">(R$25/Z4)^2</f>
        <v>47851.562499999985</v>
      </c>
      <c r="Y4" s="489">
        <f t="shared" ref="Y4:Y23" si="1">(R$26/AA4)^2</f>
        <v>25.040064102564109</v>
      </c>
      <c r="Z4" s="488">
        <f>Z3+R$28/50</f>
        <v>1.6000000000000001E-3</v>
      </c>
      <c r="AA4" s="488">
        <f t="shared" ref="AA4:AA51" si="2">SQRT(R$28^2-Z4^2)</f>
        <v>3.9967987189749747E-2</v>
      </c>
    </row>
    <row r="5" spans="1:27" s="486" customFormat="1" x14ac:dyDescent="0.25">
      <c r="A5" s="486" t="s">
        <v>137</v>
      </c>
      <c r="M5" s="486" t="s">
        <v>137</v>
      </c>
      <c r="X5" s="489">
        <f t="shared" si="0"/>
        <v>21267.361111111106</v>
      </c>
      <c r="Y5" s="489">
        <f t="shared" si="1"/>
        <v>25.090325170614214</v>
      </c>
      <c r="Z5" s="488">
        <f t="shared" ref="Z5:Z51" si="3">Z4+R$28/50</f>
        <v>2.4000000000000002E-3</v>
      </c>
      <c r="AA5" s="488">
        <f t="shared" si="2"/>
        <v>3.9927935083096895E-2</v>
      </c>
    </row>
    <row r="6" spans="1:27" s="486" customFormat="1" x14ac:dyDescent="0.25">
      <c r="A6" s="496" t="s">
        <v>136</v>
      </c>
      <c r="M6" s="495" t="s">
        <v>136</v>
      </c>
      <c r="X6" s="489">
        <f t="shared" si="0"/>
        <v>11962.890624999996</v>
      </c>
      <c r="Y6" s="489">
        <f t="shared" si="1"/>
        <v>25.161030595813205</v>
      </c>
      <c r="Z6" s="488">
        <f t="shared" si="3"/>
        <v>3.2000000000000002E-3</v>
      </c>
      <c r="AA6" s="488">
        <f t="shared" si="2"/>
        <v>3.9871794542006761E-2</v>
      </c>
    </row>
    <row r="7" spans="1:27" s="486" customFormat="1" x14ac:dyDescent="0.25">
      <c r="X7" s="489">
        <f t="shared" si="0"/>
        <v>7656.2499999999973</v>
      </c>
      <c r="Y7" s="489">
        <f t="shared" si="1"/>
        <v>25.252525252525253</v>
      </c>
      <c r="Z7" s="488">
        <f t="shared" si="3"/>
        <v>4.0000000000000001E-3</v>
      </c>
      <c r="AA7" s="488">
        <f t="shared" si="2"/>
        <v>3.9799497484264798E-2</v>
      </c>
    </row>
    <row r="8" spans="1:27" s="486" customFormat="1" x14ac:dyDescent="0.25">
      <c r="X8" s="489">
        <f t="shared" si="0"/>
        <v>5316.8402777777765</v>
      </c>
      <c r="Y8" s="489">
        <f t="shared" si="1"/>
        <v>25.365259740259742</v>
      </c>
      <c r="Z8" s="488">
        <f t="shared" si="3"/>
        <v>4.8000000000000004E-3</v>
      </c>
      <c r="AA8" s="488">
        <f t="shared" si="2"/>
        <v>3.9710955667170741E-2</v>
      </c>
    </row>
    <row r="9" spans="1:27" s="486" customFormat="1" x14ac:dyDescent="0.25">
      <c r="X9" s="489">
        <f t="shared" si="0"/>
        <v>3906.2499999999982</v>
      </c>
      <c r="Y9" s="489">
        <f t="shared" si="1"/>
        <v>25.499796001631985</v>
      </c>
      <c r="Z9" s="488">
        <f t="shared" si="3"/>
        <v>5.6000000000000008E-3</v>
      </c>
      <c r="AA9" s="488">
        <f t="shared" si="2"/>
        <v>3.9606060142357007E-2</v>
      </c>
    </row>
    <row r="10" spans="1:27" s="486" customFormat="1" x14ac:dyDescent="0.25">
      <c r="I10" s="490"/>
      <c r="L10" s="491" t="s">
        <v>256</v>
      </c>
      <c r="X10" s="489">
        <f t="shared" si="0"/>
        <v>2990.7226562499986</v>
      </c>
      <c r="Y10" s="489">
        <f t="shared" si="1"/>
        <v>25.656814449917896</v>
      </c>
      <c r="Z10" s="488">
        <f t="shared" si="3"/>
        <v>6.4000000000000012E-3</v>
      </c>
      <c r="AA10" s="488">
        <f t="shared" si="2"/>
        <v>3.9484680573609814E-2</v>
      </c>
    </row>
    <row r="11" spans="1:27" s="486" customFormat="1" x14ac:dyDescent="0.25">
      <c r="X11" s="489">
        <f t="shared" si="0"/>
        <v>2363.0401234567889</v>
      </c>
      <c r="Y11" s="489">
        <f t="shared" si="1"/>
        <v>25.837122778007437</v>
      </c>
      <c r="Z11" s="488">
        <f t="shared" si="3"/>
        <v>7.2000000000000015E-3</v>
      </c>
      <c r="AA11" s="488">
        <f t="shared" si="2"/>
        <v>3.9346664407545404E-2</v>
      </c>
    </row>
    <row r="12" spans="1:27" s="486" customFormat="1" x14ac:dyDescent="0.25">
      <c r="I12" s="490"/>
      <c r="L12" s="490" t="s">
        <v>132</v>
      </c>
      <c r="X12" s="489">
        <f t="shared" si="0"/>
        <v>1914.0624999999989</v>
      </c>
      <c r="Y12" s="489">
        <f t="shared" si="1"/>
        <v>26.041666666666664</v>
      </c>
      <c r="Z12" s="488">
        <f t="shared" si="3"/>
        <v>8.0000000000000019E-3</v>
      </c>
      <c r="AA12" s="488">
        <f t="shared" si="2"/>
        <v>3.9191835884530853E-2</v>
      </c>
    </row>
    <row r="13" spans="1:27" s="486" customFormat="1" x14ac:dyDescent="0.25">
      <c r="I13" s="490"/>
      <c r="L13" s="490" t="s">
        <v>189</v>
      </c>
      <c r="X13" s="489">
        <f t="shared" si="0"/>
        <v>1581.8698347107427</v>
      </c>
      <c r="Y13" s="489">
        <f t="shared" si="1"/>
        <v>26.271542664985294</v>
      </c>
      <c r="Z13" s="488">
        <f t="shared" si="3"/>
        <v>8.8000000000000023E-3</v>
      </c>
      <c r="AA13" s="488">
        <f t="shared" si="2"/>
        <v>3.9019994874423036E-2</v>
      </c>
    </row>
    <row r="14" spans="1:27" s="486" customFormat="1" x14ac:dyDescent="0.25">
      <c r="X14" s="489">
        <f t="shared" si="0"/>
        <v>1329.2100694444437</v>
      </c>
      <c r="Y14" s="489">
        <f t="shared" si="1"/>
        <v>26.528013582342957</v>
      </c>
      <c r="Z14" s="488">
        <f t="shared" si="3"/>
        <v>9.6000000000000026E-3</v>
      </c>
      <c r="AA14" s="488">
        <f t="shared" si="2"/>
        <v>3.8830915518437113E-2</v>
      </c>
    </row>
    <row r="15" spans="1:27" s="486" customFormat="1" x14ac:dyDescent="0.25">
      <c r="X15" s="489">
        <f t="shared" si="0"/>
        <v>1132.5813609467446</v>
      </c>
      <c r="Y15" s="489">
        <f t="shared" si="1"/>
        <v>26.812526812526812</v>
      </c>
      <c r="Z15" s="488">
        <f t="shared" si="3"/>
        <v>1.0400000000000003E-2</v>
      </c>
      <c r="AA15" s="488">
        <f t="shared" si="2"/>
        <v>3.8624344654634594E-2</v>
      </c>
    </row>
    <row r="16" spans="1:27" s="486" customFormat="1" x14ac:dyDescent="0.25">
      <c r="X16" s="489">
        <f t="shared" si="0"/>
        <v>976.56249999999932</v>
      </c>
      <c r="Y16" s="489">
        <f t="shared" si="1"/>
        <v>27.126736111111118</v>
      </c>
      <c r="Z16" s="488">
        <f t="shared" si="3"/>
        <v>1.1200000000000003E-2</v>
      </c>
      <c r="AA16" s="488">
        <f t="shared" si="2"/>
        <v>3.8399999999999997E-2</v>
      </c>
    </row>
    <row r="17" spans="1:27" s="486" customFormat="1" x14ac:dyDescent="0.25">
      <c r="X17" s="489">
        <f t="shared" si="0"/>
        <v>850.69444444444389</v>
      </c>
      <c r="Y17" s="489">
        <f t="shared" si="1"/>
        <v>27.472527472527478</v>
      </c>
      <c r="Z17" s="488">
        <f t="shared" si="3"/>
        <v>1.2000000000000004E-2</v>
      </c>
      <c r="AA17" s="488">
        <f t="shared" si="2"/>
        <v>3.8157568056677825E-2</v>
      </c>
    </row>
    <row r="18" spans="1:27" s="486" customFormat="1" x14ac:dyDescent="0.25">
      <c r="X18" s="489">
        <f t="shared" si="0"/>
        <v>747.68066406249943</v>
      </c>
      <c r="Y18" s="489">
        <f t="shared" si="1"/>
        <v>27.85204991087344</v>
      </c>
      <c r="Z18" s="488">
        <f t="shared" si="3"/>
        <v>1.2800000000000004E-2</v>
      </c>
      <c r="AA18" s="488">
        <f t="shared" si="2"/>
        <v>3.7896701703446438E-2</v>
      </c>
    </row>
    <row r="19" spans="1:27" s="486" customFormat="1" x14ac:dyDescent="0.25">
      <c r="X19" s="489">
        <f t="shared" si="0"/>
        <v>662.30536332179872</v>
      </c>
      <c r="Y19" s="489">
        <f t="shared" si="1"/>
        <v>28.267752148349164</v>
      </c>
      <c r="Z19" s="488">
        <f t="shared" si="3"/>
        <v>1.3600000000000004E-2</v>
      </c>
      <c r="AA19" s="488">
        <f t="shared" si="2"/>
        <v>3.7617017425627994E-2</v>
      </c>
    </row>
    <row r="20" spans="1:27" s="486" customFormat="1" x14ac:dyDescent="0.25">
      <c r="X20" s="489">
        <f t="shared" si="0"/>
        <v>590.76003086419712</v>
      </c>
      <c r="Y20" s="489">
        <f t="shared" si="1"/>
        <v>28.722426470588243</v>
      </c>
      <c r="Z20" s="488">
        <f t="shared" si="3"/>
        <v>1.4400000000000005E-2</v>
      </c>
      <c r="AA20" s="488">
        <f t="shared" si="2"/>
        <v>3.7318092127009921E-2</v>
      </c>
    </row>
    <row r="21" spans="1:27" s="486" customFormat="1" x14ac:dyDescent="0.25">
      <c r="X21" s="489">
        <f t="shared" si="0"/>
        <v>530.21121883656463</v>
      </c>
      <c r="Y21" s="489">
        <f t="shared" si="1"/>
        <v>29.219261337073402</v>
      </c>
      <c r="Z21" s="488">
        <f t="shared" si="3"/>
        <v>1.5200000000000005E-2</v>
      </c>
      <c r="AA21" s="488">
        <f t="shared" si="2"/>
        <v>3.6999459455510968E-2</v>
      </c>
    </row>
    <row r="22" spans="1:27" s="486" customFormat="1" x14ac:dyDescent="0.25">
      <c r="X22" s="489">
        <f t="shared" si="0"/>
        <v>478.51562499999972</v>
      </c>
      <c r="Y22" s="489">
        <f t="shared" si="1"/>
        <v>29.76190476190477</v>
      </c>
      <c r="Z22" s="488">
        <f t="shared" si="3"/>
        <v>1.6000000000000004E-2</v>
      </c>
      <c r="AA22" s="488">
        <f t="shared" si="2"/>
        <v>3.6660605559646717E-2</v>
      </c>
    </row>
    <row r="23" spans="1:27" s="486" customFormat="1" x14ac:dyDescent="0.25">
      <c r="X23" s="489">
        <f t="shared" si="0"/>
        <v>434.0277777777776</v>
      </c>
      <c r="Y23" s="489">
        <f t="shared" si="1"/>
        <v>30.354541039339484</v>
      </c>
      <c r="Z23" s="488">
        <f t="shared" si="3"/>
        <v>1.6800000000000002E-2</v>
      </c>
      <c r="AA23" s="488">
        <f t="shared" si="2"/>
        <v>3.6300964174522971E-2</v>
      </c>
    </row>
    <row r="24" spans="1:27" s="486" customFormat="1" x14ac:dyDescent="0.25">
      <c r="X24" s="489">
        <f t="shared" ref="X24:X51" si="4">(R$25/Z24)^2</f>
        <v>395.46745867768584</v>
      </c>
      <c r="Y24" s="489">
        <f t="shared" ref="Y24:Y51" si="5">(R$26/AA24)^2</f>
        <v>31.00198412698413</v>
      </c>
      <c r="Z24" s="488">
        <f t="shared" si="3"/>
        <v>1.7600000000000001E-2</v>
      </c>
      <c r="AA24" s="488">
        <f t="shared" si="2"/>
        <v>3.5919910913029839E-2</v>
      </c>
    </row>
    <row r="25" spans="1:27" s="486" customFormat="1" x14ac:dyDescent="0.25">
      <c r="Q25" s="492" t="s">
        <v>234</v>
      </c>
      <c r="R25" s="494">
        <f>+'Data Entry'!C3</f>
        <v>0.35</v>
      </c>
      <c r="X25" s="489">
        <f t="shared" si="4"/>
        <v>361.82655954631377</v>
      </c>
      <c r="Y25" s="489">
        <f t="shared" si="5"/>
        <v>31.709791983764593</v>
      </c>
      <c r="Z25" s="488">
        <f t="shared" si="3"/>
        <v>1.84E-2</v>
      </c>
      <c r="AA25" s="488">
        <f t="shared" si="2"/>
        <v>3.551675660867698E-2</v>
      </c>
    </row>
    <row r="26" spans="1:27" s="486" customFormat="1" x14ac:dyDescent="0.25">
      <c r="Q26" s="492" t="s">
        <v>235</v>
      </c>
      <c r="R26" s="494">
        <f>+'Data Entry'!$C$5</f>
        <v>0.2</v>
      </c>
      <c r="X26" s="489">
        <f t="shared" si="4"/>
        <v>332.30251736111114</v>
      </c>
      <c r="Y26" s="489">
        <f t="shared" si="5"/>
        <v>32.484407484407484</v>
      </c>
      <c r="Z26" s="488">
        <f t="shared" si="3"/>
        <v>1.9199999999999998E-2</v>
      </c>
      <c r="AA26" s="488">
        <f t="shared" si="2"/>
        <v>3.5090739519138096E-2</v>
      </c>
    </row>
    <row r="27" spans="1:27" s="486" customFormat="1" x14ac:dyDescent="0.25">
      <c r="Q27" s="492"/>
      <c r="R27" s="493"/>
      <c r="X27" s="489">
        <f t="shared" si="4"/>
        <v>306.25</v>
      </c>
      <c r="Y27" s="489">
        <f t="shared" si="5"/>
        <v>33.333333333333343</v>
      </c>
      <c r="Z27" s="488">
        <f t="shared" si="3"/>
        <v>1.9999999999999997E-2</v>
      </c>
      <c r="AA27" s="488">
        <f t="shared" si="2"/>
        <v>3.4641016151377546E-2</v>
      </c>
    </row>
    <row r="28" spans="1:27" s="486" customFormat="1" x14ac:dyDescent="0.25">
      <c r="Q28" s="492" t="s">
        <v>236</v>
      </c>
      <c r="R28" s="494">
        <v>0.04</v>
      </c>
      <c r="X28" s="489">
        <f t="shared" si="4"/>
        <v>283.14534023668648</v>
      </c>
      <c r="Y28" s="489">
        <f t="shared" si="5"/>
        <v>34.265350877192972</v>
      </c>
      <c r="Z28" s="488">
        <f t="shared" si="3"/>
        <v>2.0799999999999996E-2</v>
      </c>
      <c r="AA28" s="488">
        <f t="shared" si="2"/>
        <v>3.4166650406500201E-2</v>
      </c>
    </row>
    <row r="29" spans="1:27" s="486" customFormat="1" x14ac:dyDescent="0.25">
      <c r="A29" s="486" t="s">
        <v>137</v>
      </c>
      <c r="X29" s="489">
        <f t="shared" si="4"/>
        <v>262.56001371742121</v>
      </c>
      <c r="Y29" s="489">
        <f t="shared" si="5"/>
        <v>35.290796160361367</v>
      </c>
      <c r="Z29" s="488">
        <f t="shared" si="3"/>
        <v>2.1599999999999994E-2</v>
      </c>
      <c r="AA29" s="488">
        <f t="shared" si="2"/>
        <v>3.3666600660001308E-2</v>
      </c>
    </row>
    <row r="30" spans="1:27" s="486" customFormat="1" x14ac:dyDescent="0.25">
      <c r="A30" s="495" t="s">
        <v>136</v>
      </c>
      <c r="X30" s="489">
        <f t="shared" si="4"/>
        <v>244.14062500000011</v>
      </c>
      <c r="Y30" s="489">
        <f t="shared" si="5"/>
        <v>36.421911421911418</v>
      </c>
      <c r="Z30" s="488">
        <f t="shared" si="3"/>
        <v>2.2399999999999993E-2</v>
      </c>
      <c r="AA30" s="488">
        <f t="shared" si="2"/>
        <v>3.3139704283532773E-2</v>
      </c>
    </row>
    <row r="31" spans="1:27" s="486" customFormat="1" x14ac:dyDescent="0.25">
      <c r="X31" s="489">
        <f t="shared" si="4"/>
        <v>227.59363852556496</v>
      </c>
      <c r="Y31" s="489">
        <f t="shared" si="5"/>
        <v>37.673297166968041</v>
      </c>
      <c r="Z31" s="488">
        <f t="shared" si="3"/>
        <v>2.3199999999999991E-2</v>
      </c>
      <c r="AA31" s="488">
        <f t="shared" si="2"/>
        <v>3.2584658967066089E-2</v>
      </c>
    </row>
    <row r="32" spans="1:27" s="486" customFormat="1" x14ac:dyDescent="0.25">
      <c r="L32" s="486" t="s">
        <v>188</v>
      </c>
      <c r="X32" s="489">
        <f t="shared" si="4"/>
        <v>212.67361111111128</v>
      </c>
      <c r="Y32" s="489">
        <f t="shared" si="5"/>
        <v>39.062499999999986</v>
      </c>
      <c r="Z32" s="488">
        <f t="shared" si="3"/>
        <v>2.399999999999999E-2</v>
      </c>
      <c r="AA32" s="488">
        <f t="shared" si="2"/>
        <v>3.2000000000000008E-2</v>
      </c>
    </row>
    <row r="33" spans="12:27" s="486" customFormat="1" x14ac:dyDescent="0.25">
      <c r="X33" s="489">
        <f t="shared" si="4"/>
        <v>199.1740374609783</v>
      </c>
      <c r="Y33" s="489">
        <f t="shared" si="5"/>
        <v>40.61078622482129</v>
      </c>
      <c r="Z33" s="488">
        <f t="shared" si="3"/>
        <v>2.4799999999999989E-2</v>
      </c>
      <c r="AA33" s="488">
        <f t="shared" si="2"/>
        <v>3.1384072393492862E-2</v>
      </c>
    </row>
    <row r="34" spans="12:27" s="486" customFormat="1" x14ac:dyDescent="0.25">
      <c r="L34" s="486" t="s">
        <v>190</v>
      </c>
      <c r="X34" s="489">
        <f t="shared" si="4"/>
        <v>186.92016601562514</v>
      </c>
      <c r="Y34" s="489">
        <f t="shared" si="5"/>
        <v>42.344173441734391</v>
      </c>
      <c r="Z34" s="488">
        <f t="shared" si="3"/>
        <v>2.5599999999999987E-2</v>
      </c>
      <c r="AA34" s="488">
        <f t="shared" si="2"/>
        <v>3.0734996339677686E-2</v>
      </c>
    </row>
    <row r="35" spans="12:27" s="486" customFormat="1" x14ac:dyDescent="0.25">
      <c r="X35" s="489">
        <f t="shared" si="4"/>
        <v>175.76331496786057</v>
      </c>
      <c r="Y35" s="489">
        <f t="shared" si="5"/>
        <v>44.294826364280617</v>
      </c>
      <c r="Z35" s="488">
        <f t="shared" si="3"/>
        <v>2.6399999999999986E-2</v>
      </c>
      <c r="AA35" s="488">
        <f t="shared" si="2"/>
        <v>3.0050623953588731E-2</v>
      </c>
    </row>
    <row r="36" spans="12:27" s="486" customFormat="1" x14ac:dyDescent="0.25">
      <c r="X36" s="489">
        <f t="shared" si="4"/>
        <v>165.57634083044999</v>
      </c>
      <c r="Y36" s="489">
        <f t="shared" si="5"/>
        <v>46.502976190476147</v>
      </c>
      <c r="Z36" s="488">
        <f t="shared" si="3"/>
        <v>2.7199999999999985E-2</v>
      </c>
      <c r="AA36" s="488">
        <f t="shared" si="2"/>
        <v>2.9328484447717389E-2</v>
      </c>
    </row>
    <row r="37" spans="12:27" s="486" customFormat="1" x14ac:dyDescent="0.25">
      <c r="X37" s="489">
        <f t="shared" si="4"/>
        <v>156.25000000000017</v>
      </c>
      <c r="Y37" s="489">
        <f t="shared" si="5"/>
        <v>49.019607843137209</v>
      </c>
      <c r="Z37" s="488">
        <f t="shared" si="3"/>
        <v>2.7999999999999983E-2</v>
      </c>
      <c r="AA37" s="488">
        <f t="shared" si="2"/>
        <v>2.8565713714171416E-2</v>
      </c>
    </row>
    <row r="38" spans="12:27" s="486" customFormat="1" x14ac:dyDescent="0.25">
      <c r="X38" s="489">
        <f t="shared" si="4"/>
        <v>147.69000771604954</v>
      </c>
      <c r="Y38" s="489">
        <f t="shared" si="5"/>
        <v>51.910299003322194</v>
      </c>
      <c r="Z38" s="488">
        <f t="shared" si="3"/>
        <v>2.8799999999999982E-2</v>
      </c>
      <c r="AA38" s="488">
        <f t="shared" si="2"/>
        <v>2.7758962516635975E-2</v>
      </c>
    </row>
    <row r="39" spans="12:27" s="486" customFormat="1" x14ac:dyDescent="0.25">
      <c r="X39" s="489">
        <f t="shared" si="4"/>
        <v>139.81464572680807</v>
      </c>
      <c r="Y39" s="489">
        <f t="shared" si="5"/>
        <v>55.260831122900008</v>
      </c>
      <c r="Z39" s="488">
        <f t="shared" si="3"/>
        <v>2.959999999999998E-2</v>
      </c>
      <c r="AA39" s="488">
        <f t="shared" si="2"/>
        <v>2.6904274753280402E-2</v>
      </c>
    </row>
    <row r="40" spans="12:27" s="486" customFormat="1" x14ac:dyDescent="0.25">
      <c r="X40" s="489">
        <f t="shared" si="4"/>
        <v>132.55280470914144</v>
      </c>
      <c r="Y40" s="489">
        <f t="shared" si="5"/>
        <v>59.185606060605934</v>
      </c>
      <c r="Z40" s="488">
        <f t="shared" si="3"/>
        <v>3.0399999999999979E-2</v>
      </c>
      <c r="AA40" s="488">
        <f t="shared" si="2"/>
        <v>2.5996922894835101E-2</v>
      </c>
    </row>
    <row r="41" spans="12:27" s="486" customFormat="1" x14ac:dyDescent="0.25">
      <c r="X41" s="489">
        <f t="shared" si="4"/>
        <v>125.84237343852746</v>
      </c>
      <c r="Y41" s="489">
        <f t="shared" si="5"/>
        <v>63.840653728294029</v>
      </c>
      <c r="Z41" s="488">
        <f t="shared" si="3"/>
        <v>3.1199999999999978E-2</v>
      </c>
      <c r="AA41" s="488">
        <f t="shared" si="2"/>
        <v>2.5031180555459255E-2</v>
      </c>
    </row>
    <row r="42" spans="12:27" s="486" customFormat="1" x14ac:dyDescent="0.25">
      <c r="X42" s="489">
        <f t="shared" si="4"/>
        <v>119.62890625000011</v>
      </c>
      <c r="Y42" s="489">
        <f t="shared" si="5"/>
        <v>69.444444444444272</v>
      </c>
      <c r="Z42" s="488">
        <f t="shared" si="3"/>
        <v>3.199999999999998E-2</v>
      </c>
      <c r="AA42" s="488">
        <f t="shared" si="2"/>
        <v>2.4000000000000028E-2</v>
      </c>
    </row>
    <row r="43" spans="12:27" s="486" customFormat="1" x14ac:dyDescent="0.25">
      <c r="X43" s="489">
        <f t="shared" si="4"/>
        <v>113.86451516954203</v>
      </c>
      <c r="Y43" s="489">
        <f t="shared" si="5"/>
        <v>76.312576312576169</v>
      </c>
      <c r="Z43" s="488">
        <f t="shared" si="3"/>
        <v>3.2799999999999982E-2</v>
      </c>
      <c r="AA43" s="488">
        <f t="shared" si="2"/>
        <v>2.2894540834006719E-2</v>
      </c>
    </row>
    <row r="44" spans="12:27" s="486" customFormat="1" x14ac:dyDescent="0.25">
      <c r="X44" s="489">
        <f t="shared" si="4"/>
        <v>108.50694444444454</v>
      </c>
      <c r="Y44" s="489">
        <f t="shared" si="5"/>
        <v>84.918478260869364</v>
      </c>
      <c r="Z44" s="488">
        <f t="shared" si="3"/>
        <v>3.3599999999999984E-2</v>
      </c>
      <c r="AA44" s="488">
        <f t="shared" si="2"/>
        <v>2.1703455946000885E-2</v>
      </c>
    </row>
    <row r="45" spans="12:27" s="486" customFormat="1" x14ac:dyDescent="0.25">
      <c r="X45" s="489">
        <f t="shared" si="4"/>
        <v>103.51879394267178</v>
      </c>
      <c r="Y45" s="489">
        <f t="shared" si="5"/>
        <v>96.006144393240916</v>
      </c>
      <c r="Z45" s="488">
        <f t="shared" si="3"/>
        <v>3.4399999999999986E-2</v>
      </c>
      <c r="AA45" s="488">
        <f t="shared" si="2"/>
        <v>2.0411761315476944E-2</v>
      </c>
    </row>
    <row r="46" spans="12:27" s="486" customFormat="1" x14ac:dyDescent="0.25">
      <c r="X46" s="489">
        <f t="shared" si="4"/>
        <v>98.866864669421531</v>
      </c>
      <c r="Y46" s="489">
        <f t="shared" si="5"/>
        <v>110.81560283687918</v>
      </c>
      <c r="Z46" s="488">
        <f t="shared" si="3"/>
        <v>3.5199999999999988E-2</v>
      </c>
      <c r="AA46" s="488">
        <f t="shared" si="2"/>
        <v>1.8998947339260691E-2</v>
      </c>
    </row>
    <row r="47" spans="12:27" s="486" customFormat="1" x14ac:dyDescent="0.25">
      <c r="X47" s="489">
        <f t="shared" si="4"/>
        <v>94.521604938271665</v>
      </c>
      <c r="Y47" s="489">
        <f t="shared" si="5"/>
        <v>131.57894736842078</v>
      </c>
      <c r="Z47" s="488">
        <f t="shared" si="3"/>
        <v>3.599999999999999E-2</v>
      </c>
      <c r="AA47" s="488">
        <f t="shared" si="2"/>
        <v>1.7435595774162715E-2</v>
      </c>
    </row>
    <row r="48" spans="12:27" s="486" customFormat="1" x14ac:dyDescent="0.25">
      <c r="X48" s="489">
        <f t="shared" si="4"/>
        <v>90.456639886578472</v>
      </c>
      <c r="Y48" s="489">
        <f t="shared" si="5"/>
        <v>162.76041666666623</v>
      </c>
      <c r="Z48" s="488">
        <f t="shared" si="3"/>
        <v>3.6799999999999992E-2</v>
      </c>
      <c r="AA48" s="488">
        <f t="shared" si="2"/>
        <v>1.5676734353812363E-2</v>
      </c>
    </row>
    <row r="49" spans="1:27" s="486" customFormat="1" x14ac:dyDescent="0.25">
      <c r="X49" s="489">
        <f t="shared" si="4"/>
        <v>86.648370303304674</v>
      </c>
      <c r="Y49" s="489">
        <f t="shared" si="5"/>
        <v>214.77663230240498</v>
      </c>
      <c r="Z49" s="488">
        <f t="shared" si="3"/>
        <v>3.7599999999999995E-2</v>
      </c>
      <c r="AA49" s="488">
        <f t="shared" si="2"/>
        <v>1.3646977687385603E-2</v>
      </c>
    </row>
    <row r="50" spans="1:27" s="486" customFormat="1" x14ac:dyDescent="0.25">
      <c r="X50" s="489">
        <f t="shared" si="4"/>
        <v>83.075629340277786</v>
      </c>
      <c r="Y50" s="489">
        <f t="shared" si="5"/>
        <v>318.8775510204074</v>
      </c>
      <c r="Z50" s="488">
        <f t="shared" si="3"/>
        <v>3.8399999999999997E-2</v>
      </c>
      <c r="AA50" s="488">
        <f t="shared" si="2"/>
        <v>1.1200000000000014E-2</v>
      </c>
    </row>
    <row r="51" spans="1:27" s="486" customFormat="1" x14ac:dyDescent="0.25">
      <c r="X51" s="489">
        <f t="shared" si="4"/>
        <v>79.719387755102048</v>
      </c>
      <c r="Y51" s="489">
        <f t="shared" si="5"/>
        <v>631.31313131312982</v>
      </c>
      <c r="Z51" s="488">
        <f t="shared" si="3"/>
        <v>3.9199999999999999E-2</v>
      </c>
      <c r="AA51" s="488">
        <f t="shared" si="2"/>
        <v>7.9598994968529697E-3</v>
      </c>
    </row>
    <row r="52" spans="1:27" s="486" customFormat="1" x14ac:dyDescent="0.25">
      <c r="X52" s="489"/>
      <c r="Y52" s="489"/>
      <c r="Z52" s="488"/>
      <c r="AA52" s="488"/>
    </row>
    <row r="53" spans="1:27" s="486" customFormat="1" x14ac:dyDescent="0.25">
      <c r="X53" s="487"/>
      <c r="Y53" s="487"/>
      <c r="Z53" s="488"/>
      <c r="AA53" s="487"/>
    </row>
    <row r="54" spans="1:27" s="486" customFormat="1" x14ac:dyDescent="0.25">
      <c r="A54" s="486" t="s">
        <v>137</v>
      </c>
      <c r="X54" s="487"/>
      <c r="Y54" s="487"/>
      <c r="Z54" s="488"/>
      <c r="AA54" s="487"/>
    </row>
    <row r="55" spans="1:27" s="486" customFormat="1" x14ac:dyDescent="0.25">
      <c r="A55" s="495" t="s">
        <v>136</v>
      </c>
      <c r="X55" s="487"/>
      <c r="Y55" s="487"/>
      <c r="Z55" s="488"/>
      <c r="AA55" s="487"/>
    </row>
    <row r="56" spans="1:27" s="486" customFormat="1" x14ac:dyDescent="0.25">
      <c r="L56" s="486" t="s">
        <v>188</v>
      </c>
      <c r="X56" s="487"/>
      <c r="Y56" s="487"/>
      <c r="Z56" s="488"/>
      <c r="AA56" s="487"/>
    </row>
    <row r="57" spans="1:27" s="486" customFormat="1" x14ac:dyDescent="0.25">
      <c r="X57" s="487"/>
      <c r="Y57" s="487"/>
      <c r="Z57" s="488"/>
      <c r="AA57" s="487"/>
    </row>
    <row r="58" spans="1:27" s="486" customFormat="1" x14ac:dyDescent="0.25">
      <c r="L58" s="486" t="s">
        <v>133</v>
      </c>
      <c r="X58" s="487"/>
      <c r="Y58" s="487"/>
      <c r="Z58" s="488"/>
      <c r="AA58" s="487"/>
    </row>
    <row r="59" spans="1:27" s="486" customFormat="1" x14ac:dyDescent="0.25">
      <c r="X59" s="487"/>
      <c r="Y59" s="487"/>
      <c r="Z59" s="488"/>
      <c r="AA59" s="487"/>
    </row>
    <row r="60" spans="1:27" s="486" customFormat="1" x14ac:dyDescent="0.25">
      <c r="X60" s="487"/>
      <c r="Y60" s="487"/>
      <c r="Z60" s="488"/>
      <c r="AA60" s="487"/>
    </row>
    <row r="61" spans="1:27" s="486" customFormat="1" x14ac:dyDescent="0.25">
      <c r="X61" s="487"/>
      <c r="Y61" s="487"/>
      <c r="Z61" s="487"/>
      <c r="AA61" s="487"/>
    </row>
    <row r="62" spans="1:27" s="486" customFormat="1" x14ac:dyDescent="0.25">
      <c r="X62" s="487"/>
      <c r="Y62" s="487"/>
      <c r="Z62" s="487"/>
      <c r="AA62" s="487"/>
    </row>
    <row r="63" spans="1:27" s="486" customFormat="1" x14ac:dyDescent="0.25">
      <c r="X63" s="487"/>
      <c r="Y63" s="487"/>
      <c r="Z63" s="487"/>
      <c r="AA63" s="487"/>
    </row>
    <row r="64" spans="1:27" s="486" customFormat="1" x14ac:dyDescent="0.25">
      <c r="X64" s="487"/>
      <c r="Y64" s="487"/>
      <c r="Z64" s="487"/>
      <c r="AA64" s="487"/>
    </row>
    <row r="65" spans="1:27" s="486" customFormat="1" x14ac:dyDescent="0.25">
      <c r="X65" s="487"/>
      <c r="Y65" s="487"/>
      <c r="Z65" s="487"/>
      <c r="AA65" s="487"/>
    </row>
    <row r="66" spans="1:27" s="486" customFormat="1" x14ac:dyDescent="0.25">
      <c r="X66" s="487"/>
      <c r="Y66" s="487"/>
      <c r="Z66" s="487"/>
      <c r="AA66" s="487"/>
    </row>
    <row r="67" spans="1:27" s="486" customFormat="1" x14ac:dyDescent="0.25">
      <c r="X67" s="487"/>
      <c r="Y67" s="487"/>
      <c r="Z67" s="487"/>
      <c r="AA67" s="487"/>
    </row>
    <row r="68" spans="1:27" s="486" customFormat="1" x14ac:dyDescent="0.25">
      <c r="X68" s="487"/>
      <c r="Y68" s="487"/>
      <c r="Z68" s="487"/>
      <c r="AA68" s="487"/>
    </row>
    <row r="69" spans="1:27" s="486" customFormat="1" x14ac:dyDescent="0.25">
      <c r="X69" s="487"/>
      <c r="Y69" s="487"/>
      <c r="Z69" s="487"/>
      <c r="AA69" s="487"/>
    </row>
    <row r="70" spans="1:27" s="486" customFormat="1" x14ac:dyDescent="0.25">
      <c r="X70" s="487"/>
      <c r="Y70" s="487"/>
      <c r="Z70" s="487"/>
      <c r="AA70" s="487"/>
    </row>
    <row r="71" spans="1:27" s="486" customFormat="1" x14ac:dyDescent="0.25">
      <c r="X71" s="487"/>
      <c r="Y71" s="487"/>
      <c r="Z71" s="487"/>
      <c r="AA71" s="487"/>
    </row>
    <row r="72" spans="1:27" s="486" customFormat="1" x14ac:dyDescent="0.25">
      <c r="X72" s="487"/>
      <c r="Y72" s="487"/>
      <c r="Z72" s="487"/>
      <c r="AA72" s="487"/>
    </row>
    <row r="73" spans="1:27" s="486" customFormat="1" x14ac:dyDescent="0.25">
      <c r="X73" s="487"/>
      <c r="Y73" s="487"/>
      <c r="Z73" s="487"/>
      <c r="AA73" s="487"/>
    </row>
    <row r="74" spans="1:27" s="486" customFormat="1" x14ac:dyDescent="0.25">
      <c r="X74" s="487"/>
      <c r="Y74" s="487"/>
      <c r="Z74" s="487"/>
      <c r="AA74" s="487"/>
    </row>
    <row r="75" spans="1:27" s="486" customFormat="1" x14ac:dyDescent="0.25">
      <c r="X75" s="487"/>
      <c r="Y75" s="487"/>
      <c r="Z75" s="487"/>
      <c r="AA75" s="487"/>
    </row>
    <row r="76" spans="1:27" s="486" customFormat="1" x14ac:dyDescent="0.25">
      <c r="X76" s="487"/>
      <c r="Y76" s="487"/>
      <c r="Z76" s="487"/>
      <c r="AA76" s="487"/>
    </row>
    <row r="77" spans="1:27" s="486" customFormat="1" x14ac:dyDescent="0.25">
      <c r="A77" s="486" t="s">
        <v>137</v>
      </c>
      <c r="X77" s="487"/>
      <c r="Y77" s="487"/>
      <c r="Z77" s="487"/>
      <c r="AA77" s="487"/>
    </row>
    <row r="78" spans="1:27" s="486" customFormat="1" x14ac:dyDescent="0.25">
      <c r="A78" s="495" t="s">
        <v>136</v>
      </c>
      <c r="X78" s="487"/>
      <c r="Y78" s="487"/>
      <c r="Z78" s="487"/>
      <c r="AA78" s="487"/>
    </row>
    <row r="79" spans="1:27" s="486" customFormat="1" x14ac:dyDescent="0.25">
      <c r="X79" s="487"/>
      <c r="Y79" s="487"/>
      <c r="Z79" s="487"/>
      <c r="AA79" s="487"/>
    </row>
    <row r="80" spans="1:27" s="486" customFormat="1" x14ac:dyDescent="0.25">
      <c r="X80" s="487"/>
      <c r="Y80" s="487"/>
      <c r="Z80" s="487"/>
      <c r="AA80" s="487"/>
    </row>
    <row r="81" spans="12:27" s="486" customFormat="1" x14ac:dyDescent="0.25">
      <c r="X81" s="487"/>
      <c r="Y81" s="487"/>
      <c r="Z81" s="487"/>
      <c r="AA81" s="487"/>
    </row>
    <row r="82" spans="12:27" s="486" customFormat="1" x14ac:dyDescent="0.25">
      <c r="L82" s="486" t="s">
        <v>188</v>
      </c>
      <c r="X82" s="487"/>
      <c r="Y82" s="487"/>
      <c r="Z82" s="487"/>
      <c r="AA82" s="487"/>
    </row>
    <row r="83" spans="12:27" s="486" customFormat="1" x14ac:dyDescent="0.25">
      <c r="X83" s="487"/>
      <c r="Y83" s="487"/>
      <c r="Z83" s="487"/>
      <c r="AA83" s="487"/>
    </row>
    <row r="84" spans="12:27" s="486" customFormat="1" x14ac:dyDescent="0.25">
      <c r="L84" s="486" t="s">
        <v>133</v>
      </c>
      <c r="X84" s="487"/>
      <c r="Y84" s="487"/>
      <c r="Z84" s="487"/>
      <c r="AA84" s="487"/>
    </row>
    <row r="85" spans="12:27" s="486" customFormat="1" x14ac:dyDescent="0.25">
      <c r="L85" s="486" t="s">
        <v>191</v>
      </c>
      <c r="X85" s="487"/>
      <c r="Y85" s="487"/>
      <c r="Z85" s="487"/>
      <c r="AA85" s="487"/>
    </row>
    <row r="86" spans="12:27" s="486" customFormat="1" x14ac:dyDescent="0.25">
      <c r="L86" s="486" t="s">
        <v>192</v>
      </c>
      <c r="X86" s="487"/>
      <c r="Y86" s="487"/>
      <c r="Z86" s="487"/>
      <c r="AA86" s="487"/>
    </row>
    <row r="87" spans="12:27" s="486" customFormat="1" x14ac:dyDescent="0.25">
      <c r="X87" s="487"/>
      <c r="Y87" s="487"/>
      <c r="Z87" s="487"/>
      <c r="AA87" s="487"/>
    </row>
    <row r="88" spans="12:27" s="486" customFormat="1" x14ac:dyDescent="0.25">
      <c r="X88" s="487"/>
      <c r="Y88" s="487"/>
      <c r="Z88" s="487"/>
      <c r="AA88" s="487"/>
    </row>
    <row r="89" spans="12:27" s="486" customFormat="1" x14ac:dyDescent="0.25">
      <c r="X89" s="487"/>
      <c r="Y89" s="487"/>
      <c r="Z89" s="487"/>
      <c r="AA89" s="487"/>
    </row>
    <row r="90" spans="12:27" s="486" customFormat="1" x14ac:dyDescent="0.25">
      <c r="X90" s="487"/>
      <c r="Y90" s="487"/>
      <c r="Z90" s="487"/>
      <c r="AA90" s="487"/>
    </row>
    <row r="91" spans="12:27" s="486" customFormat="1" x14ac:dyDescent="0.25">
      <c r="X91" s="487"/>
      <c r="Y91" s="487"/>
      <c r="Z91" s="487"/>
      <c r="AA91" s="487"/>
    </row>
    <row r="92" spans="12:27" s="486" customFormat="1" x14ac:dyDescent="0.25">
      <c r="X92" s="487"/>
      <c r="Y92" s="487"/>
      <c r="Z92" s="487"/>
      <c r="AA92" s="487"/>
    </row>
    <row r="93" spans="12:27" s="486" customFormat="1" x14ac:dyDescent="0.25">
      <c r="X93" s="487"/>
      <c r="Y93" s="487"/>
      <c r="Z93" s="487"/>
      <c r="AA93" s="487"/>
    </row>
    <row r="94" spans="12:27" s="486" customFormat="1" x14ac:dyDescent="0.25">
      <c r="X94" s="487"/>
      <c r="Y94" s="487"/>
      <c r="Z94" s="487"/>
      <c r="AA94" s="487"/>
    </row>
    <row r="95" spans="12:27" s="486" customFormat="1" x14ac:dyDescent="0.25">
      <c r="X95" s="487"/>
      <c r="Y95" s="487"/>
      <c r="Z95" s="487"/>
      <c r="AA95" s="487"/>
    </row>
    <row r="96" spans="12:27" s="486" customFormat="1" x14ac:dyDescent="0.25">
      <c r="X96" s="487"/>
      <c r="Y96" s="487"/>
      <c r="Z96" s="487"/>
      <c r="AA96" s="487"/>
    </row>
    <row r="97" spans="1:27" s="486" customFormat="1" x14ac:dyDescent="0.25">
      <c r="L97" s="486" t="s">
        <v>193</v>
      </c>
      <c r="X97" s="487"/>
      <c r="Y97" s="487"/>
      <c r="Z97" s="487"/>
      <c r="AA97" s="487"/>
    </row>
    <row r="98" spans="1:27" s="486" customFormat="1" x14ac:dyDescent="0.25">
      <c r="L98" s="486" t="s">
        <v>194</v>
      </c>
      <c r="X98" s="487"/>
      <c r="Y98" s="487"/>
      <c r="Z98" s="487"/>
      <c r="AA98" s="487"/>
    </row>
    <row r="99" spans="1:27" s="486" customFormat="1" x14ac:dyDescent="0.25">
      <c r="L99" s="486" t="s">
        <v>3</v>
      </c>
      <c r="X99" s="487"/>
      <c r="Y99" s="487"/>
      <c r="Z99" s="487"/>
      <c r="AA99" s="487"/>
    </row>
    <row r="100" spans="1:27" s="486" customFormat="1" x14ac:dyDescent="0.25">
      <c r="X100" s="487"/>
      <c r="Y100" s="487"/>
      <c r="Z100" s="487"/>
      <c r="AA100" s="487"/>
    </row>
    <row r="101" spans="1:27" s="486" customFormat="1" x14ac:dyDescent="0.25">
      <c r="X101" s="487"/>
      <c r="Y101" s="487"/>
      <c r="Z101" s="487"/>
      <c r="AA101" s="487"/>
    </row>
    <row r="102" spans="1:27" s="486" customFormat="1" x14ac:dyDescent="0.25">
      <c r="X102" s="487"/>
      <c r="Y102" s="487"/>
      <c r="Z102" s="487"/>
      <c r="AA102" s="487"/>
    </row>
    <row r="103" spans="1:27" s="486" customFormat="1" x14ac:dyDescent="0.25">
      <c r="X103" s="487"/>
      <c r="Y103" s="487"/>
      <c r="Z103" s="487"/>
      <c r="AA103" s="487"/>
    </row>
    <row r="104" spans="1:27" s="486" customFormat="1" x14ac:dyDescent="0.25">
      <c r="A104" s="486" t="s">
        <v>137</v>
      </c>
      <c r="X104" s="487"/>
      <c r="Y104" s="487"/>
      <c r="Z104" s="487"/>
      <c r="AA104" s="487"/>
    </row>
    <row r="105" spans="1:27" s="486" customFormat="1" x14ac:dyDescent="0.25">
      <c r="A105" s="495" t="s">
        <v>136</v>
      </c>
      <c r="X105" s="487"/>
      <c r="Y105" s="487"/>
      <c r="Z105" s="487"/>
      <c r="AA105" s="487"/>
    </row>
    <row r="106" spans="1:27" s="486" customFormat="1" x14ac:dyDescent="0.25">
      <c r="X106" s="487"/>
      <c r="Y106" s="487"/>
      <c r="Z106" s="487"/>
      <c r="AA106" s="487"/>
    </row>
    <row r="107" spans="1:27" s="486" customFormat="1" x14ac:dyDescent="0.25">
      <c r="X107" s="487"/>
      <c r="Y107" s="487"/>
      <c r="Z107" s="487"/>
      <c r="AA107" s="487"/>
    </row>
    <row r="108" spans="1:27" s="486" customFormat="1" x14ac:dyDescent="0.25">
      <c r="X108" s="487"/>
      <c r="Y108" s="487"/>
      <c r="Z108" s="487"/>
      <c r="AA108" s="487"/>
    </row>
    <row r="109" spans="1:27" s="486" customFormat="1" x14ac:dyDescent="0.25">
      <c r="X109" s="487"/>
      <c r="Y109" s="487"/>
      <c r="Z109" s="487"/>
      <c r="AA109" s="487"/>
    </row>
    <row r="110" spans="1:27" s="486" customFormat="1" x14ac:dyDescent="0.25">
      <c r="X110" s="487"/>
      <c r="Y110" s="487"/>
      <c r="Z110" s="487"/>
      <c r="AA110" s="487"/>
    </row>
    <row r="111" spans="1:27" s="486" customFormat="1" x14ac:dyDescent="0.25">
      <c r="X111" s="487"/>
      <c r="Y111" s="487"/>
      <c r="Z111" s="487"/>
      <c r="AA111" s="487"/>
    </row>
    <row r="112" spans="1:27" s="486" customFormat="1" x14ac:dyDescent="0.25">
      <c r="X112" s="487"/>
      <c r="Y112" s="487"/>
      <c r="Z112" s="487"/>
      <c r="AA112" s="487"/>
    </row>
    <row r="113" spans="12:27" s="486" customFormat="1" x14ac:dyDescent="0.25">
      <c r="X113" s="487"/>
      <c r="Y113" s="487"/>
      <c r="Z113" s="487"/>
      <c r="AA113" s="487"/>
    </row>
    <row r="114" spans="12:27" s="486" customFormat="1" x14ac:dyDescent="0.25">
      <c r="X114" s="487"/>
      <c r="Y114" s="487"/>
      <c r="Z114" s="487"/>
      <c r="AA114" s="487"/>
    </row>
    <row r="115" spans="12:27" s="486" customFormat="1" x14ac:dyDescent="0.25">
      <c r="X115" s="487"/>
      <c r="Y115" s="487"/>
      <c r="Z115" s="487"/>
      <c r="AA115" s="487"/>
    </row>
    <row r="116" spans="12:27" s="486" customFormat="1" x14ac:dyDescent="0.25">
      <c r="X116" s="487"/>
      <c r="Y116" s="487"/>
      <c r="Z116" s="487"/>
      <c r="AA116" s="487"/>
    </row>
    <row r="117" spans="12:27" s="486" customFormat="1" x14ac:dyDescent="0.25">
      <c r="X117" s="487"/>
      <c r="Y117" s="487"/>
      <c r="Z117" s="487"/>
      <c r="AA117" s="487"/>
    </row>
    <row r="118" spans="12:27" s="486" customFormat="1" x14ac:dyDescent="0.25">
      <c r="X118" s="487"/>
      <c r="Y118" s="487"/>
      <c r="Z118" s="487"/>
      <c r="AA118" s="487"/>
    </row>
    <row r="119" spans="12:27" s="486" customFormat="1" x14ac:dyDescent="0.25">
      <c r="X119" s="487"/>
      <c r="Y119" s="487"/>
      <c r="Z119" s="487"/>
      <c r="AA119" s="487"/>
    </row>
    <row r="120" spans="12:27" s="486" customFormat="1" x14ac:dyDescent="0.25">
      <c r="X120" s="487"/>
      <c r="Y120" s="487"/>
      <c r="Z120" s="487"/>
      <c r="AA120" s="487"/>
    </row>
    <row r="121" spans="12:27" s="486" customFormat="1" x14ac:dyDescent="0.25">
      <c r="X121" s="487"/>
      <c r="Y121" s="487"/>
      <c r="Z121" s="487"/>
      <c r="AA121" s="487"/>
    </row>
    <row r="122" spans="12:27" s="486" customFormat="1" x14ac:dyDescent="0.25">
      <c r="X122" s="487"/>
      <c r="Y122" s="487"/>
      <c r="Z122" s="487"/>
      <c r="AA122" s="487"/>
    </row>
    <row r="123" spans="12:27" s="486" customFormat="1" x14ac:dyDescent="0.25">
      <c r="L123" s="486" t="s">
        <v>195</v>
      </c>
      <c r="X123" s="487"/>
      <c r="Y123" s="487"/>
      <c r="Z123" s="487"/>
      <c r="AA123" s="487"/>
    </row>
    <row r="124" spans="12:27" s="486" customFormat="1" x14ac:dyDescent="0.25">
      <c r="L124" s="486" t="s">
        <v>196</v>
      </c>
      <c r="X124" s="487"/>
      <c r="Y124" s="487"/>
      <c r="Z124" s="487"/>
      <c r="AA124" s="487"/>
    </row>
    <row r="125" spans="12:27" s="486" customFormat="1" x14ac:dyDescent="0.25">
      <c r="L125" s="486" t="s">
        <v>3</v>
      </c>
      <c r="X125" s="487"/>
      <c r="Y125" s="487"/>
      <c r="Z125" s="487"/>
      <c r="AA125" s="487"/>
    </row>
    <row r="126" spans="12:27" s="486" customFormat="1" x14ac:dyDescent="0.25">
      <c r="X126" s="487"/>
      <c r="Y126" s="487"/>
      <c r="Z126" s="487"/>
      <c r="AA126" s="487"/>
    </row>
    <row r="127" spans="12:27" s="486" customFormat="1" x14ac:dyDescent="0.25">
      <c r="X127" s="487"/>
      <c r="Y127" s="487"/>
      <c r="Z127" s="487"/>
      <c r="AA127" s="487"/>
    </row>
    <row r="128" spans="12:27" s="486" customFormat="1" x14ac:dyDescent="0.25">
      <c r="X128" s="487"/>
      <c r="Y128" s="487"/>
      <c r="Z128" s="487"/>
      <c r="AA128" s="487"/>
    </row>
    <row r="129" spans="1:27" s="486" customFormat="1" x14ac:dyDescent="0.25">
      <c r="X129" s="487"/>
      <c r="Y129" s="487"/>
      <c r="Z129" s="487"/>
      <c r="AA129" s="487"/>
    </row>
    <row r="130" spans="1:27" s="486" customFormat="1" x14ac:dyDescent="0.25">
      <c r="X130" s="487"/>
      <c r="Y130" s="487"/>
      <c r="Z130" s="487"/>
      <c r="AA130" s="487"/>
    </row>
    <row r="131" spans="1:27" s="486" customFormat="1" x14ac:dyDescent="0.25">
      <c r="X131" s="487"/>
      <c r="Y131" s="487"/>
      <c r="Z131" s="487"/>
      <c r="AA131" s="487"/>
    </row>
    <row r="132" spans="1:27" s="486" customFormat="1" x14ac:dyDescent="0.25">
      <c r="X132" s="487"/>
      <c r="Y132" s="487"/>
      <c r="Z132" s="487"/>
      <c r="AA132" s="487"/>
    </row>
    <row r="133" spans="1:27" s="486" customFormat="1" x14ac:dyDescent="0.25">
      <c r="A133" s="495"/>
      <c r="X133" s="487"/>
      <c r="Y133" s="487"/>
      <c r="Z133" s="487"/>
      <c r="AA133" s="487"/>
    </row>
    <row r="134" spans="1:27" s="486" customFormat="1" x14ac:dyDescent="0.25">
      <c r="X134" s="487"/>
      <c r="Y134" s="487"/>
      <c r="Z134" s="487"/>
      <c r="AA134" s="487"/>
    </row>
    <row r="135" spans="1:27" s="486" customFormat="1" x14ac:dyDescent="0.25">
      <c r="X135" s="487"/>
      <c r="Y135" s="487"/>
      <c r="Z135" s="487"/>
      <c r="AA135" s="487"/>
    </row>
    <row r="136" spans="1:27" s="486" customFormat="1" x14ac:dyDescent="0.25">
      <c r="X136" s="487"/>
      <c r="Y136" s="487"/>
      <c r="Z136" s="487"/>
      <c r="AA136" s="487"/>
    </row>
    <row r="137" spans="1:27" s="486" customFormat="1" x14ac:dyDescent="0.25">
      <c r="X137" s="487"/>
      <c r="Y137" s="487"/>
      <c r="Z137" s="487"/>
      <c r="AA137" s="487"/>
    </row>
    <row r="138" spans="1:27" s="486" customFormat="1" x14ac:dyDescent="0.25">
      <c r="X138" s="487"/>
      <c r="Y138" s="487"/>
      <c r="Z138" s="487"/>
      <c r="AA138" s="487"/>
    </row>
    <row r="139" spans="1:27" s="486" customFormat="1" x14ac:dyDescent="0.25">
      <c r="X139" s="487"/>
      <c r="Y139" s="487"/>
      <c r="Z139" s="487"/>
      <c r="AA139" s="487"/>
    </row>
    <row r="140" spans="1:27" s="486" customFormat="1" x14ac:dyDescent="0.25">
      <c r="X140" s="487"/>
      <c r="Y140" s="487"/>
      <c r="Z140" s="487"/>
      <c r="AA140" s="487"/>
    </row>
    <row r="141" spans="1:27" s="486" customFormat="1" x14ac:dyDescent="0.25">
      <c r="X141" s="487"/>
      <c r="Y141" s="487"/>
      <c r="Z141" s="487"/>
      <c r="AA141" s="487"/>
    </row>
    <row r="142" spans="1:27" s="486" customFormat="1" x14ac:dyDescent="0.25">
      <c r="X142" s="487"/>
      <c r="Y142" s="487"/>
      <c r="Z142" s="487"/>
      <c r="AA142" s="487"/>
    </row>
    <row r="143" spans="1:27" s="486" customFormat="1" x14ac:dyDescent="0.25">
      <c r="X143" s="487"/>
      <c r="Y143" s="487"/>
      <c r="Z143" s="487"/>
      <c r="AA143" s="487"/>
    </row>
    <row r="144" spans="1:27" s="486" customFormat="1" x14ac:dyDescent="0.25">
      <c r="X144" s="487"/>
      <c r="Y144" s="487"/>
      <c r="Z144" s="487"/>
      <c r="AA144" s="487"/>
    </row>
    <row r="145" spans="1:27" s="486" customFormat="1" x14ac:dyDescent="0.25">
      <c r="X145" s="487"/>
      <c r="Y145" s="487"/>
      <c r="Z145" s="487"/>
      <c r="AA145" s="487"/>
    </row>
    <row r="146" spans="1:27" s="486" customFormat="1" x14ac:dyDescent="0.25">
      <c r="X146" s="487"/>
      <c r="Y146" s="487"/>
      <c r="Z146" s="487"/>
      <c r="AA146" s="487"/>
    </row>
    <row r="147" spans="1:27" s="486" customFormat="1" x14ac:dyDescent="0.25">
      <c r="X147" s="487"/>
      <c r="Y147" s="487"/>
      <c r="Z147" s="487"/>
      <c r="AA147" s="487"/>
    </row>
    <row r="148" spans="1:27" s="486" customFormat="1" x14ac:dyDescent="0.25">
      <c r="X148" s="487"/>
      <c r="Y148" s="487"/>
      <c r="Z148" s="487"/>
      <c r="AA148" s="487"/>
    </row>
    <row r="149" spans="1:27" s="486" customFormat="1" x14ac:dyDescent="0.25">
      <c r="X149" s="487"/>
      <c r="Y149" s="487"/>
      <c r="Z149" s="487"/>
      <c r="AA149" s="487"/>
    </row>
    <row r="150" spans="1:27" s="486" customFormat="1" x14ac:dyDescent="0.25">
      <c r="X150" s="487"/>
      <c r="Y150" s="487"/>
      <c r="Z150" s="487"/>
      <c r="AA150" s="487"/>
    </row>
    <row r="151" spans="1:27" s="486" customFormat="1" x14ac:dyDescent="0.25">
      <c r="X151" s="487"/>
      <c r="Y151" s="487"/>
      <c r="Z151" s="487"/>
      <c r="AA151" s="487"/>
    </row>
    <row r="152" spans="1:27" s="486" customFormat="1" x14ac:dyDescent="0.25">
      <c r="X152" s="487"/>
      <c r="Y152" s="487"/>
      <c r="Z152" s="487"/>
      <c r="AA152" s="487"/>
    </row>
    <row r="153" spans="1:27" s="486" customFormat="1" x14ac:dyDescent="0.25">
      <c r="X153" s="487"/>
      <c r="Y153" s="487"/>
      <c r="Z153" s="487"/>
      <c r="AA153" s="487"/>
    </row>
    <row r="154" spans="1:27" s="486" customFormat="1" x14ac:dyDescent="0.25">
      <c r="X154" s="487"/>
      <c r="Y154" s="487"/>
      <c r="Z154" s="487"/>
      <c r="AA154" s="487"/>
    </row>
    <row r="155" spans="1:27" s="486" customFormat="1" x14ac:dyDescent="0.25">
      <c r="X155" s="487"/>
      <c r="Y155" s="487"/>
      <c r="Z155" s="487"/>
      <c r="AA155" s="487"/>
    </row>
    <row r="156" spans="1:27" s="486" customFormat="1" x14ac:dyDescent="0.25">
      <c r="X156" s="487"/>
      <c r="Y156" s="487"/>
      <c r="Z156" s="487"/>
      <c r="AA156" s="487"/>
    </row>
    <row r="157" spans="1:27" s="486" customFormat="1" x14ac:dyDescent="0.25">
      <c r="X157" s="487"/>
      <c r="Y157" s="487"/>
      <c r="Z157" s="487"/>
      <c r="AA157" s="487"/>
    </row>
    <row r="158" spans="1:27" x14ac:dyDescent="0.25">
      <c r="A158" s="48"/>
      <c r="B158" s="48"/>
      <c r="C158" s="48"/>
      <c r="D158" s="48"/>
      <c r="E158" s="48"/>
      <c r="F158" s="48"/>
      <c r="G158" s="48"/>
      <c r="I158" s="48"/>
      <c r="J158" s="48"/>
      <c r="K158" s="48"/>
    </row>
    <row r="159" spans="1:27" x14ac:dyDescent="0.25">
      <c r="A159" s="48"/>
      <c r="B159" s="48"/>
      <c r="C159" s="48"/>
      <c r="D159" s="48"/>
      <c r="E159" s="48"/>
      <c r="F159" s="48"/>
      <c r="G159" s="48"/>
      <c r="I159" s="48"/>
      <c r="J159" s="48"/>
      <c r="K159" s="48"/>
    </row>
    <row r="160" spans="1:27" x14ac:dyDescent="0.25">
      <c r="A160" s="48"/>
      <c r="B160" s="48"/>
      <c r="C160" s="48"/>
      <c r="D160" s="48"/>
      <c r="E160" s="48"/>
      <c r="F160" s="48"/>
      <c r="G160" s="48"/>
      <c r="I160" s="48"/>
      <c r="J160" s="48"/>
      <c r="K160" s="48"/>
    </row>
    <row r="161" spans="1:11" x14ac:dyDescent="0.25">
      <c r="A161" s="48"/>
      <c r="B161" s="48"/>
      <c r="C161" s="48"/>
      <c r="D161" s="48"/>
      <c r="E161" s="48"/>
      <c r="F161" s="48"/>
      <c r="G161" s="48"/>
      <c r="I161" s="48"/>
      <c r="J161" s="48"/>
      <c r="K161" s="48"/>
    </row>
    <row r="162" spans="1:11" x14ac:dyDescent="0.25">
      <c r="A162" s="48"/>
      <c r="B162" s="48"/>
      <c r="C162" s="48"/>
      <c r="D162" s="48"/>
      <c r="E162" s="48"/>
      <c r="F162" s="48"/>
      <c r="G162" s="48"/>
      <c r="I162" s="48"/>
      <c r="J162" s="48"/>
      <c r="K162" s="48"/>
    </row>
    <row r="163" spans="1:11" x14ac:dyDescent="0.25">
      <c r="A163" s="48"/>
      <c r="B163" s="48"/>
      <c r="C163" s="48"/>
      <c r="D163" s="48"/>
      <c r="E163" s="48"/>
      <c r="F163" s="48"/>
      <c r="G163" s="48"/>
      <c r="I163" s="48"/>
      <c r="J163" s="48"/>
      <c r="K163" s="48"/>
    </row>
    <row r="164" spans="1:11" x14ac:dyDescent="0.25">
      <c r="A164" s="48"/>
      <c r="B164" s="48"/>
      <c r="C164" s="48"/>
      <c r="D164" s="48"/>
      <c r="E164" s="48"/>
      <c r="F164" s="48"/>
      <c r="G164" s="48"/>
      <c r="I164" s="48"/>
      <c r="J164" s="48"/>
      <c r="K164" s="48"/>
    </row>
    <row r="165" spans="1:11" x14ac:dyDescent="0.25">
      <c r="A165" s="48"/>
      <c r="B165" s="48"/>
      <c r="C165" s="48"/>
      <c r="D165" s="48"/>
      <c r="E165" s="48"/>
      <c r="F165" s="48"/>
      <c r="G165" s="48"/>
      <c r="I165" s="48"/>
      <c r="J165" s="48"/>
      <c r="K165" s="48"/>
    </row>
    <row r="166" spans="1:11" x14ac:dyDescent="0.25">
      <c r="A166" s="48"/>
      <c r="B166" s="48"/>
      <c r="C166" s="48"/>
      <c r="D166" s="48"/>
      <c r="E166" s="48"/>
      <c r="F166" s="48"/>
      <c r="G166" s="48"/>
      <c r="I166" s="48"/>
      <c r="J166" s="48"/>
      <c r="K166" s="48"/>
    </row>
    <row r="167" spans="1:11" x14ac:dyDescent="0.25">
      <c r="A167" s="48"/>
      <c r="B167" s="48"/>
      <c r="C167" s="48"/>
      <c r="D167" s="48"/>
      <c r="E167" s="48"/>
      <c r="F167" s="48"/>
      <c r="G167" s="48"/>
      <c r="I167" s="48"/>
      <c r="J167" s="48"/>
      <c r="K167" s="48"/>
    </row>
    <row r="168" spans="1:11" x14ac:dyDescent="0.25">
      <c r="A168" s="48"/>
      <c r="B168" s="48"/>
      <c r="C168" s="48"/>
      <c r="D168" s="48"/>
      <c r="E168" s="48"/>
      <c r="F168" s="48"/>
      <c r="G168" s="48"/>
      <c r="I168" s="48"/>
      <c r="J168" s="48"/>
      <c r="K168" s="48"/>
    </row>
    <row r="169" spans="1:11" x14ac:dyDescent="0.25">
      <c r="A169" s="48"/>
      <c r="B169" s="48"/>
      <c r="C169" s="48"/>
      <c r="D169" s="48"/>
      <c r="E169" s="48"/>
      <c r="F169" s="48"/>
      <c r="G169" s="48"/>
      <c r="I169" s="48"/>
      <c r="J169" s="48"/>
      <c r="K169" s="48"/>
    </row>
    <row r="170" spans="1:11" x14ac:dyDescent="0.25">
      <c r="A170" s="48"/>
      <c r="B170" s="48"/>
      <c r="C170" s="48"/>
      <c r="D170" s="48"/>
      <c r="E170" s="48"/>
      <c r="F170" s="48"/>
      <c r="G170" s="48"/>
      <c r="I170" s="48"/>
      <c r="J170" s="48"/>
      <c r="K170" s="48"/>
    </row>
    <row r="171" spans="1:11" x14ac:dyDescent="0.25">
      <c r="A171" s="48"/>
      <c r="B171" s="48"/>
      <c r="C171" s="48"/>
      <c r="D171" s="48"/>
      <c r="E171" s="48"/>
      <c r="F171" s="48"/>
      <c r="G171" s="48"/>
      <c r="I171" s="48"/>
      <c r="J171" s="48"/>
      <c r="K171" s="48"/>
    </row>
    <row r="172" spans="1:11" x14ac:dyDescent="0.25">
      <c r="A172" s="48"/>
      <c r="B172" s="48"/>
      <c r="C172" s="48"/>
      <c r="D172" s="48"/>
      <c r="E172" s="48"/>
      <c r="F172" s="48"/>
      <c r="G172" s="48"/>
      <c r="I172" s="48"/>
      <c r="J172" s="48"/>
      <c r="K172" s="48"/>
    </row>
    <row r="173" spans="1:11" x14ac:dyDescent="0.25">
      <c r="A173" s="48"/>
      <c r="B173" s="48"/>
      <c r="C173" s="48"/>
      <c r="D173" s="48"/>
      <c r="E173" s="48"/>
      <c r="F173" s="48"/>
      <c r="G173" s="48"/>
      <c r="I173" s="48"/>
      <c r="J173" s="48"/>
      <c r="K173" s="48"/>
    </row>
    <row r="174" spans="1:11" x14ac:dyDescent="0.25">
      <c r="A174" s="48"/>
      <c r="B174" s="48"/>
      <c r="C174" s="48"/>
      <c r="D174" s="48"/>
      <c r="E174" s="48"/>
      <c r="F174" s="48"/>
      <c r="G174" s="48"/>
      <c r="I174" s="48"/>
      <c r="J174" s="48"/>
      <c r="K174" s="48"/>
    </row>
    <row r="175" spans="1:11" x14ac:dyDescent="0.25">
      <c r="A175" s="48"/>
      <c r="B175" s="48"/>
      <c r="C175" s="48"/>
      <c r="D175" s="48"/>
      <c r="E175" s="48"/>
      <c r="F175" s="48"/>
      <c r="G175" s="48"/>
      <c r="I175" s="48"/>
      <c r="J175" s="48"/>
      <c r="K175" s="48"/>
    </row>
    <row r="176" spans="1:11" x14ac:dyDescent="0.25">
      <c r="A176" s="48"/>
      <c r="B176" s="48"/>
      <c r="C176" s="48"/>
      <c r="D176" s="48"/>
      <c r="E176" s="48"/>
      <c r="F176" s="48"/>
      <c r="G176" s="48"/>
      <c r="I176" s="48"/>
      <c r="J176" s="48"/>
      <c r="K176" s="48"/>
    </row>
    <row r="177" spans="1:11" x14ac:dyDescent="0.25">
      <c r="A177" s="48"/>
      <c r="B177" s="48"/>
      <c r="C177" s="48"/>
      <c r="D177" s="48"/>
      <c r="E177" s="48"/>
      <c r="F177" s="48"/>
      <c r="G177" s="48"/>
      <c r="I177" s="48"/>
      <c r="J177" s="48"/>
      <c r="K177" s="48"/>
    </row>
    <row r="178" spans="1:11" x14ac:dyDescent="0.25">
      <c r="A178" s="48"/>
      <c r="B178" s="48"/>
      <c r="C178" s="48"/>
      <c r="D178" s="48"/>
      <c r="E178" s="48"/>
      <c r="F178" s="48"/>
      <c r="G178" s="48"/>
      <c r="I178" s="48"/>
      <c r="J178" s="48"/>
      <c r="K178" s="48"/>
    </row>
    <row r="179" spans="1:11" x14ac:dyDescent="0.25">
      <c r="A179" s="48"/>
      <c r="B179" s="48"/>
      <c r="C179" s="48"/>
      <c r="D179" s="48"/>
      <c r="E179" s="48"/>
      <c r="F179" s="48"/>
      <c r="G179" s="48"/>
      <c r="I179" s="48"/>
      <c r="J179" s="48"/>
      <c r="K179" s="48"/>
    </row>
    <row r="180" spans="1:11" x14ac:dyDescent="0.25">
      <c r="A180" s="48"/>
      <c r="B180" s="48"/>
      <c r="C180" s="48"/>
      <c r="D180" s="48"/>
      <c r="E180" s="48"/>
      <c r="F180" s="48"/>
      <c r="G180" s="48"/>
      <c r="I180" s="48"/>
      <c r="J180" s="48"/>
      <c r="K180" s="48"/>
    </row>
    <row r="181" spans="1:11" x14ac:dyDescent="0.25">
      <c r="A181" s="48"/>
      <c r="B181" s="48"/>
      <c r="C181" s="48"/>
      <c r="D181" s="48"/>
      <c r="E181" s="48"/>
      <c r="F181" s="48"/>
      <c r="G181" s="48"/>
      <c r="I181" s="48"/>
      <c r="J181" s="48"/>
      <c r="K181" s="48"/>
    </row>
    <row r="182" spans="1:11" x14ac:dyDescent="0.25">
      <c r="A182" s="48"/>
      <c r="B182" s="48"/>
      <c r="C182" s="48"/>
      <c r="D182" s="48"/>
      <c r="E182" s="48"/>
      <c r="F182" s="48"/>
      <c r="G182" s="48"/>
      <c r="I182" s="48"/>
      <c r="J182" s="48"/>
      <c r="K182" s="48"/>
    </row>
    <row r="183" spans="1:11" x14ac:dyDescent="0.25">
      <c r="A183" s="48"/>
      <c r="B183" s="48"/>
      <c r="C183" s="48"/>
      <c r="D183" s="48"/>
      <c r="E183" s="48"/>
      <c r="F183" s="48"/>
      <c r="G183" s="48"/>
      <c r="I183" s="48"/>
      <c r="J183" s="48"/>
      <c r="K183" s="48"/>
    </row>
    <row r="184" spans="1:11" x14ac:dyDescent="0.25">
      <c r="A184" s="48"/>
      <c r="B184" s="48"/>
      <c r="C184" s="48"/>
      <c r="D184" s="48"/>
      <c r="E184" s="48"/>
      <c r="F184" s="48"/>
      <c r="G184" s="48"/>
      <c r="I184" s="48"/>
      <c r="J184" s="48"/>
      <c r="K184" s="48"/>
    </row>
    <row r="185" spans="1:11" x14ac:dyDescent="0.25">
      <c r="A185" s="48"/>
      <c r="B185" s="48"/>
      <c r="C185" s="48"/>
      <c r="D185" s="48"/>
      <c r="E185" s="48"/>
      <c r="F185" s="48"/>
      <c r="G185" s="48"/>
      <c r="I185" s="48"/>
      <c r="J185" s="48"/>
      <c r="K185" s="48"/>
    </row>
    <row r="186" spans="1:11" x14ac:dyDescent="0.25">
      <c r="A186" s="48"/>
      <c r="B186" s="48"/>
      <c r="C186" s="48"/>
      <c r="D186" s="48"/>
      <c r="E186" s="48"/>
      <c r="F186" s="48"/>
      <c r="G186" s="48"/>
      <c r="I186" s="48"/>
      <c r="J186" s="48"/>
      <c r="K186" s="48"/>
    </row>
    <row r="187" spans="1:11" x14ac:dyDescent="0.25">
      <c r="A187" s="48"/>
      <c r="B187" s="48"/>
      <c r="C187" s="48"/>
      <c r="D187" s="48"/>
      <c r="E187" s="48"/>
      <c r="F187" s="48"/>
      <c r="G187" s="48"/>
      <c r="I187" s="48"/>
      <c r="J187" s="48"/>
      <c r="K187" s="48"/>
    </row>
    <row r="188" spans="1:11" x14ac:dyDescent="0.25">
      <c r="A188" s="48"/>
      <c r="B188" s="48"/>
      <c r="C188" s="48"/>
      <c r="D188" s="48"/>
      <c r="E188" s="48"/>
      <c r="F188" s="48"/>
      <c r="G188" s="48"/>
      <c r="I188" s="48"/>
      <c r="J188" s="48"/>
      <c r="K188" s="48"/>
    </row>
    <row r="189" spans="1:11" x14ac:dyDescent="0.25">
      <c r="A189" s="48"/>
      <c r="B189" s="48"/>
      <c r="C189" s="48"/>
      <c r="D189" s="48"/>
      <c r="E189" s="48"/>
      <c r="F189" s="48"/>
      <c r="G189" s="48"/>
      <c r="I189" s="48"/>
      <c r="J189" s="48"/>
      <c r="K189" s="48"/>
    </row>
    <row r="190" spans="1:11" x14ac:dyDescent="0.25">
      <c r="A190" s="48"/>
      <c r="B190" s="48"/>
      <c r="C190" s="48"/>
      <c r="D190" s="48"/>
      <c r="E190" s="48"/>
      <c r="F190" s="48"/>
      <c r="G190" s="48"/>
      <c r="I190" s="48"/>
      <c r="J190" s="48"/>
      <c r="K190" s="48"/>
    </row>
    <row r="191" spans="1:11" x14ac:dyDescent="0.25">
      <c r="A191" s="48"/>
      <c r="B191" s="48"/>
      <c r="C191" s="48"/>
      <c r="D191" s="48"/>
      <c r="E191" s="48"/>
      <c r="F191" s="48"/>
      <c r="G191" s="48"/>
      <c r="I191" s="48"/>
      <c r="J191" s="48"/>
      <c r="K191" s="48"/>
    </row>
    <row r="192" spans="1:11" x14ac:dyDescent="0.25">
      <c r="A192" s="48"/>
      <c r="B192" s="48"/>
      <c r="C192" s="48"/>
      <c r="D192" s="48"/>
      <c r="E192" s="48"/>
      <c r="F192" s="48"/>
      <c r="G192" s="48"/>
      <c r="I192" s="48"/>
      <c r="J192" s="48"/>
      <c r="K192" s="48"/>
    </row>
    <row r="193" spans="1:11" x14ac:dyDescent="0.25">
      <c r="A193" s="48"/>
      <c r="B193" s="48"/>
      <c r="C193" s="48"/>
      <c r="D193" s="48"/>
      <c r="E193" s="48"/>
      <c r="F193" s="48"/>
      <c r="G193" s="48"/>
      <c r="I193" s="48"/>
      <c r="J193" s="48"/>
      <c r="K193" s="48"/>
    </row>
    <row r="194" spans="1:11" x14ac:dyDescent="0.25">
      <c r="A194" s="48"/>
      <c r="B194" s="48"/>
      <c r="C194" s="48"/>
      <c r="D194" s="48"/>
      <c r="E194" s="48"/>
      <c r="F194" s="48"/>
      <c r="G194" s="48"/>
      <c r="I194" s="48"/>
      <c r="J194" s="48"/>
      <c r="K194" s="48"/>
    </row>
    <row r="195" spans="1:11" x14ac:dyDescent="0.25">
      <c r="A195" s="48"/>
      <c r="B195" s="48"/>
      <c r="C195" s="48"/>
      <c r="D195" s="48"/>
      <c r="E195" s="48"/>
      <c r="F195" s="48"/>
      <c r="G195" s="48"/>
      <c r="I195" s="48"/>
      <c r="J195" s="48"/>
      <c r="K195" s="48"/>
    </row>
    <row r="196" spans="1:11" x14ac:dyDescent="0.25">
      <c r="A196" s="48"/>
      <c r="B196" s="48"/>
      <c r="C196" s="48"/>
      <c r="D196" s="48"/>
      <c r="E196" s="48"/>
      <c r="F196" s="48"/>
      <c r="G196" s="48"/>
      <c r="I196" s="48"/>
      <c r="J196" s="48"/>
      <c r="K196" s="48"/>
    </row>
    <row r="197" spans="1:11" x14ac:dyDescent="0.25">
      <c r="A197" s="48"/>
      <c r="B197" s="48"/>
      <c r="C197" s="48"/>
      <c r="D197" s="48"/>
      <c r="E197" s="48"/>
      <c r="F197" s="48"/>
      <c r="G197" s="48"/>
      <c r="I197" s="48"/>
      <c r="J197" s="48"/>
      <c r="K197" s="48"/>
    </row>
    <row r="198" spans="1:11" x14ac:dyDescent="0.25">
      <c r="A198" s="48"/>
      <c r="B198" s="48"/>
      <c r="C198" s="48"/>
      <c r="D198" s="48"/>
      <c r="E198" s="48"/>
      <c r="F198" s="48"/>
      <c r="G198" s="48"/>
      <c r="I198" s="48"/>
      <c r="J198" s="48"/>
      <c r="K198" s="48"/>
    </row>
    <row r="199" spans="1:11" x14ac:dyDescent="0.25">
      <c r="A199" s="48"/>
      <c r="B199" s="48"/>
      <c r="C199" s="48"/>
      <c r="D199" s="48"/>
      <c r="E199" s="48"/>
      <c r="F199" s="48"/>
      <c r="G199" s="48"/>
      <c r="I199" s="48"/>
      <c r="J199" s="48"/>
      <c r="K199" s="48"/>
    </row>
    <row r="200" spans="1:11" x14ac:dyDescent="0.25">
      <c r="A200" s="48"/>
      <c r="B200" s="48"/>
      <c r="C200" s="48"/>
      <c r="D200" s="48"/>
      <c r="E200" s="48"/>
      <c r="F200" s="48"/>
      <c r="G200" s="48"/>
      <c r="I200" s="48"/>
      <c r="J200" s="48"/>
      <c r="K200" s="48"/>
    </row>
    <row r="201" spans="1:11" x14ac:dyDescent="0.25">
      <c r="A201" s="48"/>
      <c r="B201" s="48"/>
      <c r="C201" s="48"/>
      <c r="D201" s="48"/>
      <c r="E201" s="48"/>
      <c r="F201" s="48"/>
      <c r="G201" s="48"/>
      <c r="I201" s="48"/>
      <c r="J201" s="48"/>
      <c r="K201" s="48"/>
    </row>
    <row r="202" spans="1:11" x14ac:dyDescent="0.25">
      <c r="A202" s="48"/>
      <c r="B202" s="48"/>
      <c r="C202" s="48"/>
      <c r="D202" s="48"/>
      <c r="E202" s="48"/>
      <c r="F202" s="48"/>
      <c r="G202" s="48"/>
      <c r="I202" s="48"/>
      <c r="J202" s="48"/>
      <c r="K202" s="48"/>
    </row>
    <row r="203" spans="1:11" x14ac:dyDescent="0.25">
      <c r="A203" s="48"/>
      <c r="B203" s="48"/>
      <c r="C203" s="48"/>
      <c r="D203" s="48"/>
      <c r="E203" s="48"/>
      <c r="F203" s="48"/>
      <c r="G203" s="48"/>
      <c r="I203" s="48"/>
      <c r="J203" s="48"/>
      <c r="K203" s="48"/>
    </row>
    <row r="204" spans="1:11" x14ac:dyDescent="0.25">
      <c r="A204" s="48"/>
      <c r="B204" s="48"/>
      <c r="C204" s="48"/>
      <c r="D204" s="48"/>
      <c r="E204" s="48"/>
      <c r="F204" s="48"/>
      <c r="G204" s="48"/>
      <c r="I204" s="48"/>
      <c r="J204" s="48"/>
      <c r="K204" s="48"/>
    </row>
    <row r="205" spans="1:11" x14ac:dyDescent="0.25">
      <c r="I205" s="48"/>
      <c r="J205" s="48"/>
      <c r="K205" s="48"/>
    </row>
    <row r="206" spans="1:11" x14ac:dyDescent="0.25">
      <c r="I206" s="48"/>
      <c r="J206" s="48"/>
      <c r="K206" s="48"/>
    </row>
    <row r="207" spans="1:11" x14ac:dyDescent="0.25">
      <c r="I207" s="48"/>
      <c r="J207" s="48"/>
      <c r="K207" s="48"/>
    </row>
    <row r="208" spans="1:11" x14ac:dyDescent="0.25">
      <c r="I208" s="48"/>
      <c r="J208" s="48"/>
      <c r="K208" s="48"/>
    </row>
    <row r="209" spans="9:11" x14ac:dyDescent="0.25">
      <c r="I209" s="48"/>
      <c r="J209" s="48"/>
      <c r="K209" s="48"/>
    </row>
    <row r="210" spans="9:11" x14ac:dyDescent="0.25">
      <c r="I210" s="48"/>
      <c r="J210" s="48"/>
      <c r="K210" s="48"/>
    </row>
    <row r="211" spans="9:11" x14ac:dyDescent="0.25">
      <c r="I211" s="48"/>
      <c r="J211" s="48"/>
      <c r="K211" s="48"/>
    </row>
    <row r="212" spans="9:11" x14ac:dyDescent="0.25">
      <c r="I212" s="48"/>
      <c r="J212" s="48"/>
      <c r="K212" s="48"/>
    </row>
    <row r="213" spans="9:11" x14ac:dyDescent="0.25">
      <c r="I213" s="48"/>
      <c r="J213" s="48"/>
      <c r="K213" s="48"/>
    </row>
    <row r="214" spans="9:11" x14ac:dyDescent="0.25">
      <c r="I214" s="48"/>
      <c r="J214" s="48"/>
      <c r="K214" s="48"/>
    </row>
    <row r="215" spans="9:11" x14ac:dyDescent="0.25">
      <c r="I215" s="48"/>
      <c r="J215" s="48"/>
      <c r="K215" s="48"/>
    </row>
    <row r="216" spans="9:11" x14ac:dyDescent="0.25">
      <c r="I216" s="48"/>
      <c r="J216" s="48"/>
      <c r="K216" s="48"/>
    </row>
    <row r="217" spans="9:11" x14ac:dyDescent="0.25">
      <c r="I217" s="48"/>
      <c r="J217" s="48"/>
      <c r="K217" s="48"/>
    </row>
    <row r="218" spans="9:11" x14ac:dyDescent="0.25">
      <c r="I218" s="48"/>
      <c r="J218" s="48"/>
      <c r="K218" s="48"/>
    </row>
    <row r="219" spans="9:11" x14ac:dyDescent="0.25">
      <c r="I219" s="48"/>
      <c r="J219" s="48"/>
      <c r="K219" s="48"/>
    </row>
  </sheetData>
  <phoneticPr fontId="66" type="noConversion"/>
  <pageMargins left="0.75" right="0.75" top="1" bottom="1" header="0.5" footer="0.5"/>
  <pageSetup scale="69" fitToHeight="3"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7"/>
  <sheetViews>
    <sheetView workbookViewId="0">
      <selection activeCell="A2" sqref="A2"/>
    </sheetView>
  </sheetViews>
  <sheetFormatPr defaultColWidth="10.36328125" defaultRowHeight="12.5" x14ac:dyDescent="0.25"/>
  <cols>
    <col min="1" max="1" width="3.6328125" style="449" customWidth="1"/>
    <col min="2" max="2" width="13.36328125" style="10" customWidth="1"/>
    <col min="3" max="3" width="9.90625" style="10" customWidth="1"/>
    <col min="4" max="4" width="10.6328125" style="10" customWidth="1"/>
    <col min="5" max="5" width="11.54296875" style="10" customWidth="1"/>
    <col min="6" max="6" width="11.90625" style="10" customWidth="1"/>
    <col min="7" max="7" width="9.54296875" style="10" customWidth="1"/>
    <col min="8" max="8" width="11.08984375" style="10" customWidth="1"/>
    <col min="9" max="9" width="15.81640625" style="10" customWidth="1"/>
    <col min="10" max="10" width="8.08984375" style="10" customWidth="1"/>
    <col min="11" max="11" width="11.26953125" style="10" customWidth="1"/>
    <col min="12" max="12" width="7.36328125" style="523" customWidth="1"/>
    <col min="13" max="13" width="9.6328125" style="10" customWidth="1"/>
    <col min="14" max="15" width="10.6328125" style="523" customWidth="1"/>
    <col min="16" max="16" width="9.453125" style="10" customWidth="1"/>
    <col min="17" max="21" width="10.36328125" style="10"/>
    <col min="22" max="22" width="5.7265625" style="10" customWidth="1"/>
    <col min="23" max="24" width="10.36328125" style="10"/>
    <col min="25" max="25" width="12.6328125" style="10" customWidth="1"/>
    <col min="26" max="26" width="4.6328125" style="10" customWidth="1"/>
    <col min="27" max="27" width="11.6328125" style="10" customWidth="1"/>
    <col min="28" max="30" width="10.36328125" style="10"/>
    <col min="31" max="32" width="10.36328125" style="558"/>
    <col min="33" max="41" width="10.36328125" style="5"/>
    <col min="42" max="16384" width="10.36328125" style="10"/>
  </cols>
  <sheetData>
    <row r="1" spans="1:47" ht="14" thickTop="1" thickBot="1" x14ac:dyDescent="0.35">
      <c r="A1" s="468">
        <v>1</v>
      </c>
      <c r="B1" s="1280" t="s">
        <v>291</v>
      </c>
      <c r="C1" s="1281" t="s">
        <v>332</v>
      </c>
      <c r="D1" s="1282"/>
      <c r="E1" s="1282"/>
      <c r="F1" s="1282"/>
      <c r="G1" s="1282"/>
      <c r="H1" s="1282"/>
      <c r="I1" s="1283"/>
      <c r="J1" s="1" t="s">
        <v>14</v>
      </c>
      <c r="K1" s="29"/>
      <c r="L1" s="522"/>
      <c r="M1" s="30" t="s">
        <v>90</v>
      </c>
      <c r="N1" s="600">
        <f>ROUND(C11,0)</f>
        <v>45</v>
      </c>
      <c r="O1" s="535" t="s">
        <v>91</v>
      </c>
      <c r="P1" s="589">
        <v>3</v>
      </c>
      <c r="R1" s="2" t="s">
        <v>15</v>
      </c>
      <c r="S1" s="3"/>
      <c r="T1" s="3" t="s">
        <v>16</v>
      </c>
      <c r="U1" s="590">
        <f>D9</f>
        <v>0.06</v>
      </c>
      <c r="V1" s="3"/>
      <c r="W1" s="3" t="s">
        <v>17</v>
      </c>
      <c r="X1" s="590">
        <v>2.5000000000000001E-3</v>
      </c>
      <c r="Y1" s="3"/>
      <c r="Z1" s="3"/>
      <c r="AA1" s="3"/>
      <c r="AB1" s="3"/>
      <c r="AC1" s="3"/>
      <c r="AD1" s="3"/>
      <c r="AE1" s="557"/>
      <c r="AF1" s="557" t="s">
        <v>3</v>
      </c>
      <c r="AG1" s="32"/>
      <c r="AH1" s="32"/>
      <c r="AI1" s="32"/>
      <c r="AJ1" s="32" t="s">
        <v>18</v>
      </c>
      <c r="AK1" s="32"/>
      <c r="AL1" s="32"/>
      <c r="AM1" s="32"/>
      <c r="AN1" s="32" t="s">
        <v>19</v>
      </c>
      <c r="AO1" s="32" t="s">
        <v>20</v>
      </c>
    </row>
    <row r="2" spans="1:47" ht="16" thickTop="1" x14ac:dyDescent="0.35">
      <c r="B2" s="109"/>
      <c r="C2" s="110" t="s">
        <v>0</v>
      </c>
      <c r="D2" s="54"/>
      <c r="E2" s="909" t="s">
        <v>1</v>
      </c>
      <c r="F2" s="54"/>
      <c r="G2" s="54"/>
      <c r="H2" s="110" t="s">
        <v>2</v>
      </c>
      <c r="I2" s="55"/>
      <c r="J2" s="5" t="s">
        <v>3</v>
      </c>
      <c r="K2" s="31" t="s">
        <v>292</v>
      </c>
      <c r="M2" s="589">
        <v>0</v>
      </c>
      <c r="N2" s="524" t="s">
        <v>83</v>
      </c>
      <c r="O2" s="524"/>
      <c r="P2" s="5"/>
      <c r="R2" s="2" t="s">
        <v>21</v>
      </c>
      <c r="S2" s="6"/>
      <c r="T2" s="6" t="s">
        <v>22</v>
      </c>
      <c r="U2" s="6"/>
      <c r="V2" s="3" t="s">
        <v>3</v>
      </c>
      <c r="W2" s="4" t="s">
        <v>3</v>
      </c>
      <c r="X2" s="4" t="s">
        <v>23</v>
      </c>
      <c r="Y2" s="4"/>
      <c r="Z2" s="3"/>
      <c r="AA2" s="7"/>
      <c r="AB2" s="7" t="s">
        <v>24</v>
      </c>
      <c r="AC2" s="7"/>
      <c r="AD2" s="3"/>
      <c r="AE2" s="557"/>
      <c r="AF2" s="557" t="s">
        <v>25</v>
      </c>
      <c r="AG2" s="32" t="s">
        <v>26</v>
      </c>
      <c r="AH2" s="32" t="s">
        <v>93</v>
      </c>
      <c r="AI2" s="32" t="s">
        <v>20</v>
      </c>
      <c r="AJ2" s="32" t="s">
        <v>27</v>
      </c>
      <c r="AK2" s="32" t="s">
        <v>28</v>
      </c>
      <c r="AL2" s="32" t="s">
        <v>28</v>
      </c>
      <c r="AM2" s="32" t="s">
        <v>29</v>
      </c>
      <c r="AN2" s="32" t="s">
        <v>30</v>
      </c>
      <c r="AO2" s="32" t="s">
        <v>30</v>
      </c>
      <c r="AP2" s="21" t="s">
        <v>3</v>
      </c>
      <c r="AQ2" s="21" t="s">
        <v>3</v>
      </c>
      <c r="AR2" s="21" t="s">
        <v>3</v>
      </c>
      <c r="AS2" s="21" t="s">
        <v>3</v>
      </c>
      <c r="AT2" s="21" t="s">
        <v>3</v>
      </c>
      <c r="AU2" s="21" t="s">
        <v>3</v>
      </c>
    </row>
    <row r="3" spans="1:47" ht="15.5" x14ac:dyDescent="0.35">
      <c r="B3" s="111" t="s">
        <v>205</v>
      </c>
      <c r="C3" s="908">
        <v>0.35</v>
      </c>
      <c r="D3" s="4"/>
      <c r="E3" s="563">
        <v>6</v>
      </c>
      <c r="F3" s="4" t="s">
        <v>4</v>
      </c>
      <c r="G3" s="4"/>
      <c r="H3" s="566">
        <v>0</v>
      </c>
      <c r="I3" s="567" t="s">
        <v>241</v>
      </c>
      <c r="J3" s="5" t="s">
        <v>31</v>
      </c>
      <c r="K3" s="5" t="s">
        <v>9</v>
      </c>
      <c r="L3" s="524" t="s">
        <v>32</v>
      </c>
      <c r="M3" s="34" t="s">
        <v>33</v>
      </c>
      <c r="N3" s="524" t="s">
        <v>28</v>
      </c>
      <c r="O3" s="524"/>
      <c r="P3" s="5" t="s">
        <v>34</v>
      </c>
      <c r="R3" s="3" t="s">
        <v>35</v>
      </c>
      <c r="S3" s="6" t="s">
        <v>36</v>
      </c>
      <c r="T3" s="6" t="s">
        <v>37</v>
      </c>
      <c r="U3" s="6" t="s">
        <v>38</v>
      </c>
      <c r="V3" s="3"/>
      <c r="W3" s="4" t="s">
        <v>36</v>
      </c>
      <c r="X3" s="4" t="s">
        <v>37</v>
      </c>
      <c r="Y3" s="4" t="s">
        <v>38</v>
      </c>
      <c r="Z3" s="3"/>
      <c r="AA3" s="7" t="s">
        <v>36</v>
      </c>
      <c r="AB3" s="7" t="s">
        <v>37</v>
      </c>
      <c r="AC3" s="7" t="s">
        <v>38</v>
      </c>
      <c r="AD3" s="3"/>
      <c r="AE3" s="557" t="s">
        <v>39</v>
      </c>
      <c r="AF3" s="557"/>
      <c r="AG3" s="32" t="s">
        <v>40</v>
      </c>
      <c r="AH3" s="32" t="s">
        <v>40</v>
      </c>
      <c r="AI3" s="32" t="s">
        <v>40</v>
      </c>
      <c r="AJ3" s="32" t="s">
        <v>41</v>
      </c>
      <c r="AK3" s="32" t="s">
        <v>42</v>
      </c>
      <c r="AL3" s="32" t="s">
        <v>43</v>
      </c>
      <c r="AM3" s="32" t="s">
        <v>28</v>
      </c>
      <c r="AN3" s="32" t="s">
        <v>44</v>
      </c>
      <c r="AO3" s="32" t="s">
        <v>44</v>
      </c>
      <c r="AP3" s="22"/>
      <c r="AQ3" s="560" t="s">
        <v>45</v>
      </c>
      <c r="AR3" s="561" t="s">
        <v>263</v>
      </c>
      <c r="AS3" s="560"/>
      <c r="AT3" s="560"/>
      <c r="AU3" s="560"/>
    </row>
    <row r="4" spans="1:47" ht="13" x14ac:dyDescent="0.3">
      <c r="B4" s="112"/>
      <c r="C4" s="4"/>
      <c r="D4" s="4"/>
      <c r="E4" s="4" t="s">
        <v>3</v>
      </c>
      <c r="F4" s="4"/>
      <c r="G4" s="4"/>
      <c r="H4" s="566">
        <v>0</v>
      </c>
      <c r="I4" s="567" t="s">
        <v>242</v>
      </c>
      <c r="J4" s="25">
        <f>C24</f>
        <v>35.879629629629626</v>
      </c>
      <c r="K4" s="898">
        <f>(C3/(SQRT(J4)))</f>
        <v>5.8431100865781203E-2</v>
      </c>
      <c r="L4" s="525">
        <f>C25</f>
        <v>215.27777777777777</v>
      </c>
      <c r="M4" s="49">
        <f>(SQRT((D9*D9)-(K4*K4)))</f>
        <v>1.3631084021929548E-2</v>
      </c>
      <c r="N4" s="525">
        <f>(J4*E$3)+(L4*E$5)+H$6</f>
        <v>645.83333333333326</v>
      </c>
      <c r="O4" s="525">
        <f t="shared" ref="O4:O14" si="0">MAX(0,+O5-P5)</f>
        <v>12</v>
      </c>
      <c r="P4" s="25">
        <f>P1</f>
        <v>3</v>
      </c>
      <c r="Q4" s="10" t="s">
        <v>92</v>
      </c>
      <c r="R4" s="46">
        <f t="shared" ref="R4:R14" si="1">R5-AE5</f>
        <v>3.2499999999999973E-2</v>
      </c>
      <c r="S4" s="3">
        <f t="shared" ref="S4:S27" si="2">(T4*AL4)+(U4*AK4)+AM4</f>
        <v>1230.7448294620476</v>
      </c>
      <c r="T4" s="3">
        <f t="shared" ref="T4:T27" si="3">(AJ4/(AF4*AG4))</f>
        <v>152.65662156669507</v>
      </c>
      <c r="U4" s="3">
        <f t="shared" ref="U4:U27" si="4">(AG4*T4)</f>
        <v>154.23859772144291</v>
      </c>
      <c r="V4" s="3"/>
      <c r="W4" s="3">
        <f t="shared" ref="W4:W27" si="5">(X4*AL4)+(Y4*AK4)+AM4</f>
        <v>1349.112426035505</v>
      </c>
      <c r="X4" s="3">
        <f t="shared" ref="X4:X27" si="6">(AN4/(AF4*AH4))</f>
        <v>269.82248520710101</v>
      </c>
      <c r="Y4" s="3">
        <f t="shared" ref="Y4:Y27" si="7">(X4*AH4)</f>
        <v>134.91124260355051</v>
      </c>
      <c r="Z4" s="3"/>
      <c r="AA4" s="3">
        <f t="shared" ref="AA4:AA27" si="8">(AB4*AL4)+(AC4*AK4)+AM4</f>
        <v>2201.1834319526661</v>
      </c>
      <c r="AB4" s="3">
        <f t="shared" ref="AB4:AB27" si="9">(AO4/(AF4*AI4))</f>
        <v>733.72781065088873</v>
      </c>
      <c r="AC4" s="3">
        <f t="shared" ref="AC4:AC27" si="10">(AB4*AI4)</f>
        <v>122.28796844181478</v>
      </c>
      <c r="AD4" s="3"/>
      <c r="AE4" s="557">
        <f>X1</f>
        <v>2.5000000000000001E-3</v>
      </c>
      <c r="AF4" s="557">
        <f t="shared" ref="AF4:AF27" si="11">(R4*R4)</f>
        <v>1.0562499999999982E-3</v>
      </c>
      <c r="AG4" s="32">
        <f>E7</f>
        <v>1.0103629710818451</v>
      </c>
      <c r="AH4" s="32">
        <f>(C15/C16)</f>
        <v>0.5</v>
      </c>
      <c r="AI4" s="32">
        <f>(1/I23)</f>
        <v>0.16666666666666666</v>
      </c>
      <c r="AJ4" s="32">
        <f>((C3*C3)+(C5*C5*E7))</f>
        <v>0.16291451884327379</v>
      </c>
      <c r="AK4" s="32">
        <f>E3</f>
        <v>6</v>
      </c>
      <c r="AL4" s="32">
        <f>E5</f>
        <v>2</v>
      </c>
      <c r="AM4" s="32">
        <f>H3+H4+H5</f>
        <v>0</v>
      </c>
      <c r="AN4" s="32">
        <f>((C3*C3)+(C5*C5*AH4))</f>
        <v>0.14249999999999999</v>
      </c>
      <c r="AO4" s="32">
        <f>((C3*C3)+(C5*C5*AI4))</f>
        <v>0.12916666666666665</v>
      </c>
      <c r="AP4" s="40" t="s">
        <v>3</v>
      </c>
      <c r="AQ4" s="40" t="s">
        <v>46</v>
      </c>
      <c r="AR4" s="40" t="s">
        <v>47</v>
      </c>
      <c r="AS4" s="40" t="s">
        <v>48</v>
      </c>
      <c r="AT4" s="40" t="s">
        <v>49</v>
      </c>
      <c r="AU4" s="40" t="s">
        <v>50</v>
      </c>
    </row>
    <row r="5" spans="1:47" ht="16" thickBot="1" x14ac:dyDescent="0.4">
      <c r="B5" s="113" t="s">
        <v>204</v>
      </c>
      <c r="C5" s="908">
        <v>0.2</v>
      </c>
      <c r="D5" s="4"/>
      <c r="E5" s="563">
        <v>2</v>
      </c>
      <c r="F5" s="4" t="s">
        <v>5</v>
      </c>
      <c r="G5" s="4"/>
      <c r="H5" s="568">
        <v>0</v>
      </c>
      <c r="I5" s="567" t="s">
        <v>331</v>
      </c>
      <c r="J5" s="25">
        <f>C15</f>
        <v>40</v>
      </c>
      <c r="K5" s="898">
        <f>(C3/(SQRT(J5)))</f>
        <v>5.5339859052946631E-2</v>
      </c>
      <c r="L5" s="525">
        <f>C16</f>
        <v>80</v>
      </c>
      <c r="M5" s="49">
        <f>(SQRT((D9*D9)-(K5*K5)))</f>
        <v>2.3184046238739275E-2</v>
      </c>
      <c r="N5" s="525">
        <f>(J5*E$3)+(L5*E$5)+H$6</f>
        <v>400</v>
      </c>
      <c r="O5" s="525">
        <f t="shared" si="0"/>
        <v>15</v>
      </c>
      <c r="P5" s="25">
        <f t="shared" ref="P5:P24" si="12">P4</f>
        <v>3</v>
      </c>
      <c r="Q5" s="10" t="s">
        <v>93</v>
      </c>
      <c r="R5" s="46">
        <f t="shared" si="1"/>
        <v>3.4999999999999976E-2</v>
      </c>
      <c r="S5" s="3">
        <f t="shared" si="2"/>
        <v>1061.2034498932958</v>
      </c>
      <c r="T5" s="3">
        <f t="shared" si="3"/>
        <v>131.62739308556866</v>
      </c>
      <c r="U5" s="3">
        <f t="shared" si="4"/>
        <v>132.99144395369308</v>
      </c>
      <c r="V5" s="3"/>
      <c r="W5" s="3">
        <f t="shared" si="5"/>
        <v>1163.2653061224505</v>
      </c>
      <c r="X5" s="3">
        <f t="shared" si="6"/>
        <v>232.6530612244901</v>
      </c>
      <c r="Y5" s="3">
        <f t="shared" si="7"/>
        <v>116.32653061224505</v>
      </c>
      <c r="Z5" s="3"/>
      <c r="AA5" s="3">
        <f t="shared" si="8"/>
        <v>1897.9591836734721</v>
      </c>
      <c r="AB5" s="3">
        <f t="shared" si="9"/>
        <v>632.65306122449067</v>
      </c>
      <c r="AC5" s="3">
        <f t="shared" si="10"/>
        <v>105.44217687074844</v>
      </c>
      <c r="AD5" s="3"/>
      <c r="AE5" s="557">
        <f t="shared" ref="AE5:AE27" si="13">AE4</f>
        <v>2.5000000000000001E-3</v>
      </c>
      <c r="AF5" s="557">
        <f t="shared" si="11"/>
        <v>1.2249999999999982E-3</v>
      </c>
      <c r="AG5" s="32">
        <f t="shared" ref="AG5:AO20" si="14">AG4</f>
        <v>1.0103629710818451</v>
      </c>
      <c r="AH5" s="32">
        <f t="shared" si="14"/>
        <v>0.5</v>
      </c>
      <c r="AI5" s="32">
        <f t="shared" si="14"/>
        <v>0.16666666666666666</v>
      </c>
      <c r="AJ5" s="32">
        <f t="shared" si="14"/>
        <v>0.16291451884327379</v>
      </c>
      <c r="AK5" s="32">
        <f t="shared" si="14"/>
        <v>6</v>
      </c>
      <c r="AL5" s="32">
        <f t="shared" si="14"/>
        <v>2</v>
      </c>
      <c r="AM5" s="32">
        <f t="shared" si="14"/>
        <v>0</v>
      </c>
      <c r="AN5" s="32">
        <f t="shared" si="14"/>
        <v>0.14249999999999999</v>
      </c>
      <c r="AO5" s="32">
        <f t="shared" si="14"/>
        <v>0.12916666666666665</v>
      </c>
      <c r="AP5" s="44" t="s">
        <v>121</v>
      </c>
      <c r="AQ5" s="41">
        <v>6.2700000000000006E-2</v>
      </c>
      <c r="AR5" s="41">
        <v>0.12570000000000001</v>
      </c>
      <c r="AS5" s="41">
        <v>0.67449999999999999</v>
      </c>
      <c r="AT5" s="41">
        <v>1.6449</v>
      </c>
      <c r="AU5" s="42">
        <v>1.96</v>
      </c>
    </row>
    <row r="6" spans="1:47" ht="13" thickTop="1" x14ac:dyDescent="0.25">
      <c r="B6" s="112" t="s">
        <v>3</v>
      </c>
      <c r="C6" s="4" t="s">
        <v>3</v>
      </c>
      <c r="D6" s="4" t="s">
        <v>3</v>
      </c>
      <c r="E6" s="4" t="s">
        <v>3</v>
      </c>
      <c r="F6" s="114" t="s">
        <v>3</v>
      </c>
      <c r="G6" s="4" t="s">
        <v>3</v>
      </c>
      <c r="H6" s="115">
        <f>SUM(H3:H5)</f>
        <v>0</v>
      </c>
      <c r="I6" s="116" t="s">
        <v>88</v>
      </c>
      <c r="J6" s="8">
        <f t="shared" ref="J6:J24" si="15">O6</f>
        <v>18</v>
      </c>
      <c r="K6" s="899">
        <f t="shared" ref="K6:K24" si="16">IF(J6&gt;0,(C$3/(SQRT(J6))),"")</f>
        <v>8.2495791138430544E-2</v>
      </c>
      <c r="L6" s="526" t="str">
        <f t="shared" ref="L6:L24" si="17">IF(K6&lt;D$9,(C$5/M6)*(C$5/M6),"")</f>
        <v/>
      </c>
      <c r="M6" s="51" t="str">
        <f t="shared" ref="M6:M24" si="18">IF(K6&lt;D$9,(SQRT((D$9*D$9)-(K6*K6))),"")</f>
        <v/>
      </c>
      <c r="N6" s="530" t="str">
        <f t="shared" ref="N6:N24" si="19">IF(K6&lt;D$9,(J6*E$3)+(L6*E$5)+H$6,"")</f>
        <v/>
      </c>
      <c r="O6" s="530">
        <f t="shared" si="0"/>
        <v>18</v>
      </c>
      <c r="P6" s="8">
        <f t="shared" si="12"/>
        <v>3</v>
      </c>
      <c r="R6" s="46">
        <f t="shared" si="1"/>
        <v>3.7499999999999978E-2</v>
      </c>
      <c r="S6" s="3">
        <f t="shared" si="2"/>
        <v>924.42611635149308</v>
      </c>
      <c r="T6" s="3">
        <f t="shared" si="3"/>
        <v>114.66208464342868</v>
      </c>
      <c r="U6" s="3">
        <f t="shared" si="4"/>
        <v>115.85032451077262</v>
      </c>
      <c r="V6" s="3"/>
      <c r="W6" s="3">
        <f t="shared" si="5"/>
        <v>1013.3333333333344</v>
      </c>
      <c r="X6" s="3">
        <f t="shared" si="6"/>
        <v>202.66666666666688</v>
      </c>
      <c r="Y6" s="3">
        <f t="shared" si="7"/>
        <v>101.33333333333344</v>
      </c>
      <c r="Z6" s="3"/>
      <c r="AA6" s="3">
        <f t="shared" si="8"/>
        <v>1653.3333333333348</v>
      </c>
      <c r="AB6" s="3">
        <f t="shared" si="9"/>
        <v>551.11111111111165</v>
      </c>
      <c r="AC6" s="3">
        <f t="shared" si="10"/>
        <v>91.851851851851933</v>
      </c>
      <c r="AD6" s="3"/>
      <c r="AE6" s="557">
        <f t="shared" si="13"/>
        <v>2.5000000000000001E-3</v>
      </c>
      <c r="AF6" s="557">
        <f t="shared" si="11"/>
        <v>1.4062499999999984E-3</v>
      </c>
      <c r="AG6" s="32">
        <f t="shared" si="14"/>
        <v>1.0103629710818451</v>
      </c>
      <c r="AH6" s="32">
        <f t="shared" si="14"/>
        <v>0.5</v>
      </c>
      <c r="AI6" s="32">
        <f t="shared" si="14"/>
        <v>0.16666666666666666</v>
      </c>
      <c r="AJ6" s="32">
        <f t="shared" si="14"/>
        <v>0.16291451884327379</v>
      </c>
      <c r="AK6" s="32">
        <f t="shared" si="14"/>
        <v>6</v>
      </c>
      <c r="AL6" s="32">
        <f t="shared" si="14"/>
        <v>2</v>
      </c>
      <c r="AM6" s="32">
        <f t="shared" si="14"/>
        <v>0</v>
      </c>
      <c r="AN6" s="32">
        <f t="shared" si="14"/>
        <v>0.14249999999999999</v>
      </c>
      <c r="AO6" s="32">
        <f t="shared" si="14"/>
        <v>0.12916666666666665</v>
      </c>
      <c r="AP6" s="43" t="s">
        <v>120</v>
      </c>
      <c r="AQ6" s="23">
        <v>7.8700000000000006E-2</v>
      </c>
      <c r="AR6" s="23">
        <v>0.15840000000000001</v>
      </c>
      <c r="AS6" s="23">
        <v>1</v>
      </c>
      <c r="AT6" s="23">
        <v>6.3137999999999996</v>
      </c>
      <c r="AU6" s="23">
        <v>12.706200000000001</v>
      </c>
    </row>
    <row r="7" spans="1:47" ht="13" x14ac:dyDescent="0.3">
      <c r="B7" s="57"/>
      <c r="C7" s="4"/>
      <c r="D7" s="58" t="s">
        <v>100</v>
      </c>
      <c r="E7" s="39">
        <f>((C3*SQRT(E5))/(C5*SQRT(E3)))</f>
        <v>1.0103629710818451</v>
      </c>
      <c r="F7" s="4" t="s">
        <v>206</v>
      </c>
      <c r="G7" s="4"/>
      <c r="H7" s="4"/>
      <c r="I7" s="56" t="s">
        <v>3</v>
      </c>
      <c r="J7" s="8">
        <f t="shared" si="15"/>
        <v>21</v>
      </c>
      <c r="K7" s="899">
        <f t="shared" si="16"/>
        <v>7.6376261582597332E-2</v>
      </c>
      <c r="L7" s="526" t="str">
        <f t="shared" si="17"/>
        <v/>
      </c>
      <c r="M7" s="51" t="str">
        <f t="shared" si="18"/>
        <v/>
      </c>
      <c r="N7" s="530" t="str">
        <f t="shared" si="19"/>
        <v/>
      </c>
      <c r="O7" s="526">
        <f t="shared" si="0"/>
        <v>21</v>
      </c>
      <c r="P7" s="8">
        <f t="shared" si="12"/>
        <v>3</v>
      </c>
      <c r="R7" s="46">
        <f t="shared" si="1"/>
        <v>3.999999999999998E-2</v>
      </c>
      <c r="S7" s="3">
        <f t="shared" si="2"/>
        <v>812.48389132455429</v>
      </c>
      <c r="T7" s="3">
        <f t="shared" si="3"/>
        <v>100.77722283113847</v>
      </c>
      <c r="U7" s="3">
        <f t="shared" si="4"/>
        <v>101.82157427704622</v>
      </c>
      <c r="V7" s="3"/>
      <c r="W7" s="3">
        <f t="shared" si="5"/>
        <v>890.6250000000008</v>
      </c>
      <c r="X7" s="3">
        <f t="shared" si="6"/>
        <v>178.12500000000017</v>
      </c>
      <c r="Y7" s="3">
        <f t="shared" si="7"/>
        <v>89.062500000000085</v>
      </c>
      <c r="Z7" s="3"/>
      <c r="AA7" s="3">
        <f t="shared" si="8"/>
        <v>1453.1250000000014</v>
      </c>
      <c r="AB7" s="3">
        <f t="shared" si="9"/>
        <v>484.37500000000051</v>
      </c>
      <c r="AC7" s="3">
        <f t="shared" si="10"/>
        <v>80.729166666666742</v>
      </c>
      <c r="AD7" s="3"/>
      <c r="AE7" s="557">
        <f t="shared" si="13"/>
        <v>2.5000000000000001E-3</v>
      </c>
      <c r="AF7" s="557">
        <f t="shared" si="11"/>
        <v>1.5999999999999983E-3</v>
      </c>
      <c r="AG7" s="32">
        <f t="shared" si="14"/>
        <v>1.0103629710818451</v>
      </c>
      <c r="AH7" s="32">
        <f t="shared" si="14"/>
        <v>0.5</v>
      </c>
      <c r="AI7" s="32">
        <f t="shared" si="14"/>
        <v>0.16666666666666666</v>
      </c>
      <c r="AJ7" s="32">
        <f t="shared" si="14"/>
        <v>0.16291451884327379</v>
      </c>
      <c r="AK7" s="32">
        <f t="shared" si="14"/>
        <v>6</v>
      </c>
      <c r="AL7" s="32">
        <f t="shared" si="14"/>
        <v>2</v>
      </c>
      <c r="AM7" s="32">
        <f t="shared" si="14"/>
        <v>0</v>
      </c>
      <c r="AN7" s="32">
        <f t="shared" si="14"/>
        <v>0.14249999999999999</v>
      </c>
      <c r="AO7" s="32">
        <f t="shared" si="14"/>
        <v>0.12916666666666665</v>
      </c>
      <c r="AP7" s="43" t="s">
        <v>122</v>
      </c>
      <c r="AQ7" s="23">
        <v>7.0800000000000002E-2</v>
      </c>
      <c r="AR7" s="23">
        <v>0.1421</v>
      </c>
      <c r="AS7" s="23">
        <v>0.8165</v>
      </c>
      <c r="AT7" s="23">
        <v>2.92</v>
      </c>
      <c r="AU7" s="23">
        <v>4.3026999999999997</v>
      </c>
    </row>
    <row r="8" spans="1:47" ht="13" thickBot="1" x14ac:dyDescent="0.3">
      <c r="B8" s="57"/>
      <c r="C8" s="4"/>
      <c r="D8" s="4" t="s">
        <v>6</v>
      </c>
      <c r="E8" s="117">
        <f>(1/E7)</f>
        <v>0.98974331861078702</v>
      </c>
      <c r="F8" s="4" t="s">
        <v>207</v>
      </c>
      <c r="G8" s="118"/>
      <c r="H8" s="58" t="s">
        <v>107</v>
      </c>
      <c r="I8" s="601">
        <f>(I15*C11/C12)</f>
        <v>6.0621778264910704</v>
      </c>
      <c r="J8" s="8">
        <f t="shared" si="15"/>
        <v>24</v>
      </c>
      <c r="K8" s="899">
        <f t="shared" si="16"/>
        <v>7.1443450831176036E-2</v>
      </c>
      <c r="L8" s="526" t="str">
        <f t="shared" si="17"/>
        <v/>
      </c>
      <c r="M8" s="51" t="str">
        <f t="shared" si="18"/>
        <v/>
      </c>
      <c r="N8" s="530" t="str">
        <f t="shared" si="19"/>
        <v/>
      </c>
      <c r="O8" s="526">
        <f t="shared" si="0"/>
        <v>24</v>
      </c>
      <c r="P8" s="8">
        <f t="shared" si="12"/>
        <v>3</v>
      </c>
      <c r="R8" s="46">
        <f t="shared" si="1"/>
        <v>4.2499999999999982E-2</v>
      </c>
      <c r="S8" s="3">
        <f t="shared" si="2"/>
        <v>719.70891411448395</v>
      </c>
      <c r="T8" s="3">
        <f t="shared" si="3"/>
        <v>89.269789082254135</v>
      </c>
      <c r="U8" s="3">
        <f t="shared" si="4"/>
        <v>90.194889324995955</v>
      </c>
      <c r="V8" s="3"/>
      <c r="W8" s="3">
        <f t="shared" si="5"/>
        <v>788.92733564013906</v>
      </c>
      <c r="X8" s="3">
        <f t="shared" si="6"/>
        <v>157.78546712802782</v>
      </c>
      <c r="Y8" s="3">
        <f t="shared" si="7"/>
        <v>78.892733564013909</v>
      </c>
      <c r="Z8" s="3"/>
      <c r="AA8" s="3">
        <f t="shared" si="8"/>
        <v>1287.1972318339112</v>
      </c>
      <c r="AB8" s="3">
        <f t="shared" si="9"/>
        <v>429.06574394463706</v>
      </c>
      <c r="AC8" s="3">
        <f t="shared" si="10"/>
        <v>71.510957324106172</v>
      </c>
      <c r="AD8" s="3"/>
      <c r="AE8" s="557">
        <f t="shared" si="13"/>
        <v>2.5000000000000001E-3</v>
      </c>
      <c r="AF8" s="557">
        <f t="shared" si="11"/>
        <v>1.8062499999999984E-3</v>
      </c>
      <c r="AG8" s="32">
        <f t="shared" si="14"/>
        <v>1.0103629710818451</v>
      </c>
      <c r="AH8" s="32">
        <f t="shared" si="14"/>
        <v>0.5</v>
      </c>
      <c r="AI8" s="32">
        <f t="shared" si="14"/>
        <v>0.16666666666666666</v>
      </c>
      <c r="AJ8" s="32">
        <f t="shared" si="14"/>
        <v>0.16291451884327379</v>
      </c>
      <c r="AK8" s="32">
        <f t="shared" si="14"/>
        <v>6</v>
      </c>
      <c r="AL8" s="32">
        <f t="shared" si="14"/>
        <v>2</v>
      </c>
      <c r="AM8" s="32">
        <f t="shared" si="14"/>
        <v>0</v>
      </c>
      <c r="AN8" s="32">
        <f t="shared" si="14"/>
        <v>0.14249999999999999</v>
      </c>
      <c r="AO8" s="32">
        <f t="shared" si="14"/>
        <v>0.12916666666666665</v>
      </c>
      <c r="AP8" s="21">
        <v>4</v>
      </c>
      <c r="AQ8" s="23">
        <v>6.8099999999999994E-2</v>
      </c>
      <c r="AR8" s="23">
        <v>0.1366</v>
      </c>
      <c r="AS8" s="23">
        <v>0.76490000000000002</v>
      </c>
      <c r="AT8" s="23">
        <v>2.3534000000000002</v>
      </c>
      <c r="AU8" s="23">
        <v>3.1823999999999999</v>
      </c>
    </row>
    <row r="9" spans="1:47" ht="16" thickBot="1" x14ac:dyDescent="0.4">
      <c r="B9" s="113"/>
      <c r="C9" s="397" t="s">
        <v>297</v>
      </c>
      <c r="D9" s="910">
        <v>0.06</v>
      </c>
      <c r="E9" s="4" t="s">
        <v>3</v>
      </c>
      <c r="F9" s="4"/>
      <c r="G9" s="4" t="s">
        <v>3</v>
      </c>
      <c r="H9" s="569" t="s">
        <v>177</v>
      </c>
      <c r="I9" s="570" t="s">
        <v>232</v>
      </c>
      <c r="J9" s="8">
        <f t="shared" si="15"/>
        <v>27</v>
      </c>
      <c r="K9" s="899">
        <f t="shared" si="16"/>
        <v>6.7357531405456333E-2</v>
      </c>
      <c r="L9" s="526" t="str">
        <f t="shared" si="17"/>
        <v/>
      </c>
      <c r="M9" s="51" t="str">
        <f t="shared" si="18"/>
        <v/>
      </c>
      <c r="N9" s="530" t="str">
        <f t="shared" si="19"/>
        <v/>
      </c>
      <c r="O9" s="526">
        <f t="shared" si="0"/>
        <v>27</v>
      </c>
      <c r="P9" s="8">
        <f t="shared" si="12"/>
        <v>3</v>
      </c>
      <c r="R9" s="46">
        <f t="shared" si="1"/>
        <v>4.4999999999999984E-2</v>
      </c>
      <c r="S9" s="3">
        <f t="shared" si="2"/>
        <v>641.96258079964764</v>
      </c>
      <c r="T9" s="3">
        <f t="shared" si="3"/>
        <v>79.626447669047664</v>
      </c>
      <c r="U9" s="3">
        <f t="shared" si="4"/>
        <v>80.451614243592061</v>
      </c>
      <c r="V9" s="3"/>
      <c r="W9" s="3">
        <f t="shared" si="5"/>
        <v>703.70370370370415</v>
      </c>
      <c r="X9" s="3">
        <f t="shared" si="6"/>
        <v>140.74074074074082</v>
      </c>
      <c r="Y9" s="3">
        <f t="shared" si="7"/>
        <v>70.370370370370409</v>
      </c>
      <c r="Z9" s="3"/>
      <c r="AA9" s="3">
        <f t="shared" si="8"/>
        <v>1148.1481481481487</v>
      </c>
      <c r="AB9" s="3">
        <f t="shared" si="9"/>
        <v>382.71604938271628</v>
      </c>
      <c r="AC9" s="3">
        <f t="shared" si="10"/>
        <v>63.786008230452708</v>
      </c>
      <c r="AD9" s="3"/>
      <c r="AE9" s="557">
        <f t="shared" si="13"/>
        <v>2.5000000000000001E-3</v>
      </c>
      <c r="AF9" s="557">
        <f t="shared" si="11"/>
        <v>2.0249999999999986E-3</v>
      </c>
      <c r="AG9" s="32">
        <f t="shared" si="14"/>
        <v>1.0103629710818451</v>
      </c>
      <c r="AH9" s="32">
        <f t="shared" si="14"/>
        <v>0.5</v>
      </c>
      <c r="AI9" s="32">
        <f t="shared" si="14"/>
        <v>0.16666666666666666</v>
      </c>
      <c r="AJ9" s="32">
        <f t="shared" si="14"/>
        <v>0.16291451884327379</v>
      </c>
      <c r="AK9" s="32">
        <f t="shared" si="14"/>
        <v>6</v>
      </c>
      <c r="AL9" s="32">
        <f t="shared" si="14"/>
        <v>2</v>
      </c>
      <c r="AM9" s="32">
        <f t="shared" si="14"/>
        <v>0</v>
      </c>
      <c r="AN9" s="32">
        <f t="shared" si="14"/>
        <v>0.14249999999999999</v>
      </c>
      <c r="AO9" s="32">
        <f t="shared" si="14"/>
        <v>0.12916666666666665</v>
      </c>
      <c r="AP9" s="21">
        <v>5</v>
      </c>
      <c r="AQ9" s="23">
        <v>6.6699999999999995E-2</v>
      </c>
      <c r="AR9" s="23">
        <v>0.1338</v>
      </c>
      <c r="AS9" s="23">
        <v>0.74070000000000003</v>
      </c>
      <c r="AT9" s="23">
        <v>2.1318000000000001</v>
      </c>
      <c r="AU9" s="23">
        <v>2.7764000000000002</v>
      </c>
    </row>
    <row r="10" spans="1:47" ht="13" thickBot="1" x14ac:dyDescent="0.3">
      <c r="B10" s="112" t="s">
        <v>3</v>
      </c>
      <c r="C10" s="4"/>
      <c r="D10" s="4"/>
      <c r="E10" s="4"/>
      <c r="F10" s="4"/>
      <c r="G10" s="4"/>
      <c r="H10" s="569" t="s">
        <v>178</v>
      </c>
      <c r="I10" s="570" t="s">
        <v>260</v>
      </c>
      <c r="J10" s="8">
        <f t="shared" si="15"/>
        <v>30</v>
      </c>
      <c r="K10" s="899">
        <f t="shared" si="16"/>
        <v>6.3900965042269373E-2</v>
      </c>
      <c r="L10" s="526" t="str">
        <f t="shared" si="17"/>
        <v/>
      </c>
      <c r="M10" s="51" t="str">
        <f t="shared" si="18"/>
        <v/>
      </c>
      <c r="N10" s="530" t="str">
        <f t="shared" si="19"/>
        <v/>
      </c>
      <c r="O10" s="526">
        <f t="shared" si="0"/>
        <v>30</v>
      </c>
      <c r="P10" s="8">
        <f t="shared" si="12"/>
        <v>3</v>
      </c>
      <c r="R10" s="46">
        <f t="shared" si="1"/>
        <v>4.7499999999999987E-2</v>
      </c>
      <c r="S10" s="3">
        <f t="shared" si="2"/>
        <v>576.1658619919275</v>
      </c>
      <c r="T10" s="3">
        <f t="shared" si="3"/>
        <v>71.465288212663268</v>
      </c>
      <c r="U10" s="3">
        <f t="shared" si="4"/>
        <v>72.205880927766827</v>
      </c>
      <c r="V10" s="3"/>
      <c r="W10" s="3">
        <f t="shared" si="5"/>
        <v>631.57894736842138</v>
      </c>
      <c r="X10" s="3">
        <f t="shared" si="6"/>
        <v>126.31578947368428</v>
      </c>
      <c r="Y10" s="3">
        <f t="shared" si="7"/>
        <v>63.157894736842138</v>
      </c>
      <c r="Z10" s="3"/>
      <c r="AA10" s="3">
        <f t="shared" si="8"/>
        <v>1030.4709141274243</v>
      </c>
      <c r="AB10" s="3">
        <f t="shared" si="9"/>
        <v>343.49030470914141</v>
      </c>
      <c r="AC10" s="3">
        <f t="shared" si="10"/>
        <v>57.248384118190231</v>
      </c>
      <c r="AD10" s="3"/>
      <c r="AE10" s="557">
        <f t="shared" si="13"/>
        <v>2.5000000000000001E-3</v>
      </c>
      <c r="AF10" s="557">
        <f t="shared" si="11"/>
        <v>2.2562499999999987E-3</v>
      </c>
      <c r="AG10" s="32">
        <f t="shared" si="14"/>
        <v>1.0103629710818451</v>
      </c>
      <c r="AH10" s="32">
        <f t="shared" si="14"/>
        <v>0.5</v>
      </c>
      <c r="AI10" s="32">
        <f t="shared" si="14"/>
        <v>0.16666666666666666</v>
      </c>
      <c r="AJ10" s="32">
        <f t="shared" si="14"/>
        <v>0.16291451884327379</v>
      </c>
      <c r="AK10" s="32">
        <f t="shared" si="14"/>
        <v>6</v>
      </c>
      <c r="AL10" s="32">
        <f t="shared" si="14"/>
        <v>2</v>
      </c>
      <c r="AM10" s="32">
        <f t="shared" si="14"/>
        <v>0</v>
      </c>
      <c r="AN10" s="32">
        <f t="shared" si="14"/>
        <v>0.14249999999999999</v>
      </c>
      <c r="AO10" s="32">
        <f t="shared" si="14"/>
        <v>0.12916666666666665</v>
      </c>
      <c r="AP10" s="21">
        <v>6</v>
      </c>
      <c r="AQ10" s="23">
        <v>6.59E-2</v>
      </c>
      <c r="AR10" s="23">
        <v>0.13220000000000001</v>
      </c>
      <c r="AS10" s="23">
        <v>0.72670000000000001</v>
      </c>
      <c r="AT10" s="23">
        <v>2.0150000000000001</v>
      </c>
      <c r="AU10" s="23">
        <v>2.5706000000000002</v>
      </c>
    </row>
    <row r="11" spans="1:47" ht="14" x14ac:dyDescent="0.3">
      <c r="B11" s="119" t="s">
        <v>8</v>
      </c>
      <c r="C11" s="911">
        <f>(C12*E7)</f>
        <v>45.254033012020493</v>
      </c>
      <c r="D11" s="464" t="s">
        <v>296</v>
      </c>
      <c r="E11" s="120">
        <f>(C3/(SQRT(C11)))</f>
        <v>5.2028271718295646E-2</v>
      </c>
      <c r="F11" s="464" t="s">
        <v>267</v>
      </c>
      <c r="G11" s="121">
        <f>(C11*E3)+(C12*E5)+H3+H4+H5</f>
        <v>361.10395169980148</v>
      </c>
      <c r="H11" s="58" t="s">
        <v>102</v>
      </c>
      <c r="I11" s="122">
        <f>(G11/C11)</f>
        <v>7.9794866372215738</v>
      </c>
      <c r="J11" s="8">
        <f t="shared" si="15"/>
        <v>33</v>
      </c>
      <c r="K11" s="899">
        <f t="shared" si="16"/>
        <v>6.0927179584494243E-2</v>
      </c>
      <c r="L11" s="526" t="str">
        <f t="shared" si="17"/>
        <v/>
      </c>
      <c r="M11" s="51" t="str">
        <f t="shared" si="18"/>
        <v/>
      </c>
      <c r="N11" s="530" t="str">
        <f t="shared" si="19"/>
        <v/>
      </c>
      <c r="O11" s="526">
        <f t="shared" si="0"/>
        <v>33</v>
      </c>
      <c r="P11" s="8">
        <f t="shared" si="12"/>
        <v>3</v>
      </c>
      <c r="R11" s="46">
        <f t="shared" si="1"/>
        <v>4.9999999999999989E-2</v>
      </c>
      <c r="S11" s="3">
        <f t="shared" si="2"/>
        <v>519.98969044771445</v>
      </c>
      <c r="T11" s="3">
        <f t="shared" si="3"/>
        <v>64.497422611928585</v>
      </c>
      <c r="U11" s="3">
        <f t="shared" si="4"/>
        <v>65.165807537309547</v>
      </c>
      <c r="V11" s="3"/>
      <c r="W11" s="3">
        <f t="shared" si="5"/>
        <v>570.00000000000023</v>
      </c>
      <c r="X11" s="3">
        <f t="shared" si="6"/>
        <v>114.00000000000004</v>
      </c>
      <c r="Y11" s="3">
        <f t="shared" si="7"/>
        <v>57.000000000000021</v>
      </c>
      <c r="Z11" s="3"/>
      <c r="AA11" s="3">
        <f t="shared" si="8"/>
        <v>930.00000000000045</v>
      </c>
      <c r="AB11" s="3">
        <f t="shared" si="9"/>
        <v>310.00000000000017</v>
      </c>
      <c r="AC11" s="3">
        <f t="shared" si="10"/>
        <v>51.666666666666693</v>
      </c>
      <c r="AD11" s="3"/>
      <c r="AE11" s="557">
        <f t="shared" si="13"/>
        <v>2.5000000000000001E-3</v>
      </c>
      <c r="AF11" s="557">
        <f t="shared" si="11"/>
        <v>2.4999999999999988E-3</v>
      </c>
      <c r="AG11" s="32">
        <f t="shared" si="14"/>
        <v>1.0103629710818451</v>
      </c>
      <c r="AH11" s="32">
        <f t="shared" si="14"/>
        <v>0.5</v>
      </c>
      <c r="AI11" s="32">
        <f t="shared" si="14"/>
        <v>0.16666666666666666</v>
      </c>
      <c r="AJ11" s="32">
        <f t="shared" si="14"/>
        <v>0.16291451884327379</v>
      </c>
      <c r="AK11" s="32">
        <f t="shared" si="14"/>
        <v>6</v>
      </c>
      <c r="AL11" s="32">
        <f t="shared" si="14"/>
        <v>2</v>
      </c>
      <c r="AM11" s="32">
        <f t="shared" si="14"/>
        <v>0</v>
      </c>
      <c r="AN11" s="32">
        <f t="shared" si="14"/>
        <v>0.14249999999999999</v>
      </c>
      <c r="AO11" s="32">
        <f t="shared" si="14"/>
        <v>0.12916666666666665</v>
      </c>
      <c r="AP11" s="21">
        <v>7</v>
      </c>
      <c r="AQ11" s="23">
        <v>6.54E-2</v>
      </c>
      <c r="AR11" s="23">
        <v>0.13109999999999999</v>
      </c>
      <c r="AS11" s="23">
        <v>0.71760000000000002</v>
      </c>
      <c r="AT11" s="23">
        <v>1.9432</v>
      </c>
      <c r="AU11" s="23">
        <v>2.4468999999999999</v>
      </c>
    </row>
    <row r="12" spans="1:47" ht="14.5" thickBot="1" x14ac:dyDescent="0.35">
      <c r="B12" s="123" t="s">
        <v>12</v>
      </c>
      <c r="C12" s="912">
        <f>((C3*C3)+(C5*C5*E7))/(D9*D9*E7)</f>
        <v>44.789876813839271</v>
      </c>
      <c r="D12" s="465" t="s">
        <v>209</v>
      </c>
      <c r="E12" s="124">
        <f>(C5/(SQRT(C12)))</f>
        <v>2.9884091788227353E-2</v>
      </c>
      <c r="F12" s="60"/>
      <c r="G12" s="60"/>
      <c r="H12" s="125" t="s">
        <v>142</v>
      </c>
      <c r="I12" s="126">
        <f>SQRT(C11)*D9</f>
        <v>0.40362670729682121</v>
      </c>
      <c r="J12" s="8">
        <f t="shared" si="15"/>
        <v>36</v>
      </c>
      <c r="K12" s="899">
        <f t="shared" si="16"/>
        <v>5.8333333333333327E-2</v>
      </c>
      <c r="L12" s="526">
        <f t="shared" si="17"/>
        <v>202.81690140845015</v>
      </c>
      <c r="M12" s="51">
        <f t="shared" si="18"/>
        <v>1.404358295529395E-2</v>
      </c>
      <c r="N12" s="530">
        <f t="shared" si="19"/>
        <v>621.63380281690024</v>
      </c>
      <c r="O12" s="526">
        <f t="shared" si="0"/>
        <v>36</v>
      </c>
      <c r="P12" s="8">
        <f t="shared" si="12"/>
        <v>3</v>
      </c>
      <c r="R12" s="46">
        <f t="shared" si="1"/>
        <v>5.2499999999999991E-2</v>
      </c>
      <c r="S12" s="3">
        <f t="shared" si="2"/>
        <v>471.64597773035325</v>
      </c>
      <c r="T12" s="3">
        <f t="shared" si="3"/>
        <v>58.501063593586011</v>
      </c>
      <c r="U12" s="3">
        <f t="shared" si="4"/>
        <v>59.107308423863529</v>
      </c>
      <c r="V12" s="3"/>
      <c r="W12" s="3">
        <f t="shared" si="5"/>
        <v>517.00680272108855</v>
      </c>
      <c r="X12" s="3">
        <f t="shared" si="6"/>
        <v>103.40136054421771</v>
      </c>
      <c r="Y12" s="3">
        <f t="shared" si="7"/>
        <v>51.700680272108855</v>
      </c>
      <c r="Z12" s="3"/>
      <c r="AA12" s="3">
        <f t="shared" si="8"/>
        <v>843.53741496598661</v>
      </c>
      <c r="AB12" s="3">
        <f t="shared" si="9"/>
        <v>281.17913832199554</v>
      </c>
      <c r="AC12" s="3">
        <f t="shared" si="10"/>
        <v>46.863189720332585</v>
      </c>
      <c r="AD12" s="3"/>
      <c r="AE12" s="557">
        <f t="shared" si="13"/>
        <v>2.5000000000000001E-3</v>
      </c>
      <c r="AF12" s="557">
        <f t="shared" si="11"/>
        <v>2.7562499999999992E-3</v>
      </c>
      <c r="AG12" s="32">
        <f t="shared" si="14"/>
        <v>1.0103629710818451</v>
      </c>
      <c r="AH12" s="32">
        <f t="shared" si="14"/>
        <v>0.5</v>
      </c>
      <c r="AI12" s="32">
        <f t="shared" si="14"/>
        <v>0.16666666666666666</v>
      </c>
      <c r="AJ12" s="32">
        <f t="shared" si="14"/>
        <v>0.16291451884327379</v>
      </c>
      <c r="AK12" s="32">
        <f t="shared" si="14"/>
        <v>6</v>
      </c>
      <c r="AL12" s="32">
        <f t="shared" si="14"/>
        <v>2</v>
      </c>
      <c r="AM12" s="32">
        <f t="shared" si="14"/>
        <v>0</v>
      </c>
      <c r="AN12" s="32">
        <f t="shared" si="14"/>
        <v>0.14249999999999999</v>
      </c>
      <c r="AO12" s="32">
        <f t="shared" si="14"/>
        <v>0.12916666666666665</v>
      </c>
      <c r="AP12" s="21">
        <v>8</v>
      </c>
      <c r="AQ12" s="23">
        <v>6.5000000000000002E-2</v>
      </c>
      <c r="AR12" s="23">
        <v>0.1303</v>
      </c>
      <c r="AS12" s="23">
        <v>0.71109999999999995</v>
      </c>
      <c r="AT12" s="23">
        <v>1.8946000000000001</v>
      </c>
      <c r="AU12" s="23">
        <v>2.3645999999999998</v>
      </c>
    </row>
    <row r="13" spans="1:47" ht="13.5" thickBot="1" x14ac:dyDescent="0.35">
      <c r="B13" s="165" t="s">
        <v>51</v>
      </c>
      <c r="C13" s="571" t="s">
        <v>52</v>
      </c>
      <c r="D13" s="572"/>
      <c r="E13" s="572"/>
      <c r="F13" s="572"/>
      <c r="G13" s="572"/>
      <c r="H13" s="572"/>
      <c r="I13" s="572"/>
      <c r="J13" s="8">
        <f t="shared" si="15"/>
        <v>39</v>
      </c>
      <c r="K13" s="899">
        <f t="shared" si="16"/>
        <v>5.604485383178049E-2</v>
      </c>
      <c r="L13" s="526">
        <f t="shared" si="17"/>
        <v>87.150837988826666</v>
      </c>
      <c r="M13" s="51">
        <f t="shared" si="18"/>
        <v>2.1423686866978799E-2</v>
      </c>
      <c r="N13" s="530">
        <f t="shared" si="19"/>
        <v>408.3016759776533</v>
      </c>
      <c r="O13" s="526">
        <f t="shared" si="0"/>
        <v>39</v>
      </c>
      <c r="P13" s="8">
        <f t="shared" si="12"/>
        <v>3</v>
      </c>
      <c r="R13" s="46">
        <f t="shared" si="1"/>
        <v>5.4999999999999993E-2</v>
      </c>
      <c r="S13" s="3">
        <f t="shared" si="2"/>
        <v>429.74354582455726</v>
      </c>
      <c r="T13" s="3">
        <f t="shared" si="3"/>
        <v>53.303655051180634</v>
      </c>
      <c r="U13" s="3">
        <f t="shared" si="4"/>
        <v>53.856039287032665</v>
      </c>
      <c r="V13" s="3"/>
      <c r="W13" s="3">
        <f t="shared" si="5"/>
        <v>471.07438016528931</v>
      </c>
      <c r="X13" s="3">
        <f t="shared" si="6"/>
        <v>94.214876033057863</v>
      </c>
      <c r="Y13" s="3">
        <f t="shared" si="7"/>
        <v>47.107438016528931</v>
      </c>
      <c r="Z13" s="3"/>
      <c r="AA13" s="3">
        <f t="shared" si="8"/>
        <v>768.59504132231416</v>
      </c>
      <c r="AB13" s="3">
        <f t="shared" si="9"/>
        <v>256.19834710743805</v>
      </c>
      <c r="AC13" s="3">
        <f t="shared" si="10"/>
        <v>42.69972451790634</v>
      </c>
      <c r="AD13" s="3"/>
      <c r="AE13" s="557">
        <f t="shared" si="13"/>
        <v>2.5000000000000001E-3</v>
      </c>
      <c r="AF13" s="557">
        <f t="shared" si="11"/>
        <v>3.0249999999999995E-3</v>
      </c>
      <c r="AG13" s="32">
        <f t="shared" si="14"/>
        <v>1.0103629710818451</v>
      </c>
      <c r="AH13" s="32">
        <f t="shared" si="14"/>
        <v>0.5</v>
      </c>
      <c r="AI13" s="32">
        <f t="shared" si="14"/>
        <v>0.16666666666666666</v>
      </c>
      <c r="AJ13" s="32">
        <f t="shared" si="14"/>
        <v>0.16291451884327379</v>
      </c>
      <c r="AK13" s="32">
        <f t="shared" si="14"/>
        <v>6</v>
      </c>
      <c r="AL13" s="32">
        <f t="shared" si="14"/>
        <v>2</v>
      </c>
      <c r="AM13" s="32">
        <f t="shared" si="14"/>
        <v>0</v>
      </c>
      <c r="AN13" s="32">
        <f t="shared" si="14"/>
        <v>0.14249999999999999</v>
      </c>
      <c r="AO13" s="32">
        <f t="shared" si="14"/>
        <v>0.12916666666666665</v>
      </c>
      <c r="AP13" s="21">
        <v>9</v>
      </c>
      <c r="AQ13" s="23">
        <v>6.4699999999999994E-2</v>
      </c>
      <c r="AR13" s="23">
        <v>0.12970000000000001</v>
      </c>
      <c r="AS13" s="23">
        <v>0.70640000000000003</v>
      </c>
      <c r="AT13" s="23">
        <v>1.8594999999999999</v>
      </c>
      <c r="AU13" s="23">
        <v>2.306</v>
      </c>
    </row>
    <row r="14" spans="1:47" ht="17" customHeight="1" thickBot="1" x14ac:dyDescent="0.35">
      <c r="A14" s="468">
        <v>2</v>
      </c>
      <c r="B14" s="148" t="s">
        <v>329</v>
      </c>
      <c r="C14" s="418"/>
      <c r="D14" s="150"/>
      <c r="E14" s="149"/>
      <c r="F14" s="69"/>
      <c r="G14" s="368" t="s">
        <v>106</v>
      </c>
      <c r="H14" s="69"/>
      <c r="I14" s="64">
        <f>IF(I15&gt;0,(I15*C15/C16),"")</f>
        <v>3</v>
      </c>
      <c r="J14" s="24">
        <f t="shared" si="15"/>
        <v>42</v>
      </c>
      <c r="K14" s="899">
        <f t="shared" si="16"/>
        <v>5.4006172486732167E-2</v>
      </c>
      <c r="L14" s="526">
        <f t="shared" si="17"/>
        <v>58.536585365853661</v>
      </c>
      <c r="M14" s="51">
        <f t="shared" si="18"/>
        <v>2.6140645235596872E-2</v>
      </c>
      <c r="N14" s="530">
        <f t="shared" si="19"/>
        <v>369.07317073170731</v>
      </c>
      <c r="O14" s="526">
        <f t="shared" si="0"/>
        <v>42</v>
      </c>
      <c r="P14" s="8">
        <f t="shared" si="12"/>
        <v>3</v>
      </c>
      <c r="R14" s="47">
        <f t="shared" si="1"/>
        <v>5.7499999999999996E-2</v>
      </c>
      <c r="S14" s="3">
        <f t="shared" si="2"/>
        <v>393.18691149165545</v>
      </c>
      <c r="T14" s="3">
        <f t="shared" si="3"/>
        <v>48.769317664974345</v>
      </c>
      <c r="U14" s="3">
        <f t="shared" si="4"/>
        <v>49.274712693617793</v>
      </c>
      <c r="V14" s="3"/>
      <c r="W14" s="3">
        <f t="shared" si="5"/>
        <v>431.00189035916827</v>
      </c>
      <c r="X14" s="3">
        <f t="shared" si="6"/>
        <v>86.200378071833654</v>
      </c>
      <c r="Y14" s="3">
        <f t="shared" si="7"/>
        <v>43.100189035916827</v>
      </c>
      <c r="Z14" s="3"/>
      <c r="AA14" s="3">
        <f t="shared" si="8"/>
        <v>703.21361058601144</v>
      </c>
      <c r="AB14" s="3">
        <f t="shared" si="9"/>
        <v>234.40453686200382</v>
      </c>
      <c r="AC14" s="3">
        <f t="shared" si="10"/>
        <v>39.067422810333966</v>
      </c>
      <c r="AD14" s="3"/>
      <c r="AE14" s="557">
        <f t="shared" si="13"/>
        <v>2.5000000000000001E-3</v>
      </c>
      <c r="AF14" s="557">
        <f t="shared" si="11"/>
        <v>3.3062499999999993E-3</v>
      </c>
      <c r="AG14" s="32">
        <f t="shared" si="14"/>
        <v>1.0103629710818451</v>
      </c>
      <c r="AH14" s="32">
        <f t="shared" si="14"/>
        <v>0.5</v>
      </c>
      <c r="AI14" s="32">
        <f t="shared" si="14"/>
        <v>0.16666666666666666</v>
      </c>
      <c r="AJ14" s="32">
        <f t="shared" si="14"/>
        <v>0.16291451884327379</v>
      </c>
      <c r="AK14" s="32">
        <f t="shared" si="14"/>
        <v>6</v>
      </c>
      <c r="AL14" s="32">
        <f t="shared" si="14"/>
        <v>2</v>
      </c>
      <c r="AM14" s="32">
        <f t="shared" si="14"/>
        <v>0</v>
      </c>
      <c r="AN14" s="32">
        <f t="shared" si="14"/>
        <v>0.14249999999999999</v>
      </c>
      <c r="AO14" s="32">
        <f t="shared" si="14"/>
        <v>0.12916666666666665</v>
      </c>
      <c r="AP14" s="21">
        <v>10</v>
      </c>
      <c r="AQ14" s="23">
        <v>6.4500000000000002E-2</v>
      </c>
      <c r="AR14" s="23">
        <v>0.1293</v>
      </c>
      <c r="AS14" s="23">
        <v>0.70269999999999999</v>
      </c>
      <c r="AT14" s="23">
        <v>1.8331</v>
      </c>
      <c r="AU14" s="23">
        <v>2.2622</v>
      </c>
    </row>
    <row r="15" spans="1:47" ht="15.5" x14ac:dyDescent="0.35">
      <c r="B15" s="157" t="s">
        <v>53</v>
      </c>
      <c r="C15" s="906">
        <v>40</v>
      </c>
      <c r="D15" s="155">
        <f>C92</f>
        <v>39.583333333333329</v>
      </c>
      <c r="E15" s="153" t="s">
        <v>9</v>
      </c>
      <c r="F15" s="103">
        <f>(C3/(SQRT(C15)))</f>
        <v>5.5339859052946631E-2</v>
      </c>
      <c r="G15" s="68"/>
      <c r="H15" s="151" t="s">
        <v>54</v>
      </c>
      <c r="I15" s="1277">
        <v>6</v>
      </c>
      <c r="J15" s="536">
        <f>+O15</f>
        <v>45</v>
      </c>
      <c r="K15" s="899">
        <f t="shared" si="16"/>
        <v>5.2174919474995085E-2</v>
      </c>
      <c r="L15" s="526">
        <f t="shared" si="17"/>
        <v>45.569620253164516</v>
      </c>
      <c r="M15" s="51">
        <f t="shared" si="18"/>
        <v>2.962731472438531E-2</v>
      </c>
      <c r="N15" s="530">
        <f t="shared" si="19"/>
        <v>361.13924050632903</v>
      </c>
      <c r="O15" s="526">
        <f>N1+M2</f>
        <v>45</v>
      </c>
      <c r="P15" s="8">
        <f t="shared" si="12"/>
        <v>3</v>
      </c>
      <c r="Q15" s="35" t="s">
        <v>55</v>
      </c>
      <c r="R15" s="452">
        <f>U1</f>
        <v>0.06</v>
      </c>
      <c r="S15" s="3">
        <f t="shared" si="2"/>
        <v>361.10395169980148</v>
      </c>
      <c r="T15" s="3">
        <f t="shared" si="3"/>
        <v>44.789876813839271</v>
      </c>
      <c r="U15" s="3">
        <f t="shared" si="4"/>
        <v>45.254033012020493</v>
      </c>
      <c r="V15" s="3"/>
      <c r="W15" s="3">
        <f t="shared" si="5"/>
        <v>395.83333333333326</v>
      </c>
      <c r="X15" s="3">
        <f t="shared" si="6"/>
        <v>79.166666666666657</v>
      </c>
      <c r="Y15" s="3">
        <f t="shared" si="7"/>
        <v>39.583333333333329</v>
      </c>
      <c r="Z15" s="3"/>
      <c r="AA15" s="3">
        <f t="shared" si="8"/>
        <v>645.83333333333326</v>
      </c>
      <c r="AB15" s="3">
        <f t="shared" si="9"/>
        <v>215.27777777777777</v>
      </c>
      <c r="AC15" s="3">
        <f t="shared" si="10"/>
        <v>35.879629629629626</v>
      </c>
      <c r="AD15" s="3"/>
      <c r="AE15" s="557">
        <f t="shared" si="13"/>
        <v>2.5000000000000001E-3</v>
      </c>
      <c r="AF15" s="557">
        <f t="shared" si="11"/>
        <v>3.5999999999999999E-3</v>
      </c>
      <c r="AG15" s="32">
        <f t="shared" si="14"/>
        <v>1.0103629710818451</v>
      </c>
      <c r="AH15" s="32">
        <f t="shared" si="14"/>
        <v>0.5</v>
      </c>
      <c r="AI15" s="32">
        <f t="shared" si="14"/>
        <v>0.16666666666666666</v>
      </c>
      <c r="AJ15" s="32">
        <f t="shared" si="14"/>
        <v>0.16291451884327379</v>
      </c>
      <c r="AK15" s="32">
        <f t="shared" si="14"/>
        <v>6</v>
      </c>
      <c r="AL15" s="32">
        <f t="shared" si="14"/>
        <v>2</v>
      </c>
      <c r="AM15" s="32">
        <f t="shared" si="14"/>
        <v>0</v>
      </c>
      <c r="AN15" s="32">
        <f t="shared" si="14"/>
        <v>0.14249999999999999</v>
      </c>
      <c r="AO15" s="32">
        <f t="shared" si="14"/>
        <v>0.12916666666666665</v>
      </c>
      <c r="AP15" s="21">
        <v>11</v>
      </c>
      <c r="AQ15" s="23">
        <v>6.4299999999999996E-2</v>
      </c>
      <c r="AR15" s="23">
        <v>0.12889999999999999</v>
      </c>
      <c r="AS15" s="23">
        <v>0.69979999999999998</v>
      </c>
      <c r="AT15" s="23">
        <v>1.8125</v>
      </c>
      <c r="AU15" s="23">
        <v>2.2281</v>
      </c>
    </row>
    <row r="16" spans="1:47" ht="16" thickBot="1" x14ac:dyDescent="0.4">
      <c r="B16" s="157" t="s">
        <v>56</v>
      </c>
      <c r="C16" s="907">
        <v>80</v>
      </c>
      <c r="D16" s="155">
        <f>C93</f>
        <v>79.166666666666657</v>
      </c>
      <c r="E16" s="151" t="s">
        <v>13</v>
      </c>
      <c r="F16" s="103">
        <f>(C5/(SQRT(C16)))</f>
        <v>2.2360679774997897E-2</v>
      </c>
      <c r="G16" s="68"/>
      <c r="H16" s="152" t="s">
        <v>104</v>
      </c>
      <c r="I16" s="65">
        <f>IF(I15&gt;0,(I15*C15),"")</f>
        <v>240</v>
      </c>
      <c r="J16" s="8">
        <f t="shared" si="15"/>
        <v>48</v>
      </c>
      <c r="K16" s="899">
        <f t="shared" si="16"/>
        <v>5.0518148554092257E-2</v>
      </c>
      <c r="L16" s="526">
        <f t="shared" si="17"/>
        <v>38.170974155069594</v>
      </c>
      <c r="M16" s="51">
        <f t="shared" si="18"/>
        <v>3.2371540999258382E-2</v>
      </c>
      <c r="N16" s="530">
        <f t="shared" si="19"/>
        <v>364.34194831013917</v>
      </c>
      <c r="O16" s="526">
        <f t="shared" ref="O16:O24" si="20">O15+P15</f>
        <v>48</v>
      </c>
      <c r="P16" s="8">
        <f t="shared" si="12"/>
        <v>3</v>
      </c>
      <c r="R16" s="46">
        <f t="shared" ref="R16:R26" si="21">R15+AE17</f>
        <v>6.25E-2</v>
      </c>
      <c r="S16" s="3">
        <f t="shared" si="2"/>
        <v>332.79340188653708</v>
      </c>
      <c r="T16" s="3">
        <f t="shared" si="3"/>
        <v>41.278350471634276</v>
      </c>
      <c r="U16" s="3">
        <f t="shared" si="4"/>
        <v>41.706116823878091</v>
      </c>
      <c r="V16" s="3"/>
      <c r="W16" s="3">
        <f t="shared" si="5"/>
        <v>364.79999999999995</v>
      </c>
      <c r="X16" s="3">
        <f t="shared" si="6"/>
        <v>72.959999999999994</v>
      </c>
      <c r="Y16" s="3">
        <f t="shared" si="7"/>
        <v>36.479999999999997</v>
      </c>
      <c r="Z16" s="3"/>
      <c r="AA16" s="3">
        <f t="shared" si="8"/>
        <v>595.19999999999993</v>
      </c>
      <c r="AB16" s="3">
        <f t="shared" si="9"/>
        <v>198.39999999999998</v>
      </c>
      <c r="AC16" s="3">
        <f t="shared" si="10"/>
        <v>33.066666666666663</v>
      </c>
      <c r="AD16" s="3"/>
      <c r="AE16" s="557">
        <f t="shared" si="13"/>
        <v>2.5000000000000001E-3</v>
      </c>
      <c r="AF16" s="557">
        <f t="shared" si="11"/>
        <v>3.90625E-3</v>
      </c>
      <c r="AG16" s="32">
        <f t="shared" si="14"/>
        <v>1.0103629710818451</v>
      </c>
      <c r="AH16" s="32">
        <f t="shared" si="14"/>
        <v>0.5</v>
      </c>
      <c r="AI16" s="32">
        <f t="shared" si="14"/>
        <v>0.16666666666666666</v>
      </c>
      <c r="AJ16" s="32">
        <f t="shared" si="14"/>
        <v>0.16291451884327379</v>
      </c>
      <c r="AK16" s="32">
        <f t="shared" si="14"/>
        <v>6</v>
      </c>
      <c r="AL16" s="32">
        <f t="shared" si="14"/>
        <v>2</v>
      </c>
      <c r="AM16" s="32">
        <f t="shared" si="14"/>
        <v>0</v>
      </c>
      <c r="AN16" s="32">
        <f t="shared" si="14"/>
        <v>0.14249999999999999</v>
      </c>
      <c r="AO16" s="32">
        <f t="shared" si="14"/>
        <v>0.12916666666666665</v>
      </c>
      <c r="AP16" s="21">
        <v>12</v>
      </c>
      <c r="AQ16" s="23">
        <v>6.4199999999999993E-2</v>
      </c>
      <c r="AR16" s="23">
        <v>0.12859999999999999</v>
      </c>
      <c r="AS16" s="23">
        <v>0.68740000000000001</v>
      </c>
      <c r="AT16" s="23">
        <v>1.7959000000000001</v>
      </c>
      <c r="AU16" s="23">
        <v>2.2010000000000001</v>
      </c>
    </row>
    <row r="17" spans="1:47" ht="14.5" thickBot="1" x14ac:dyDescent="0.35">
      <c r="B17" s="337" t="s">
        <v>181</v>
      </c>
      <c r="C17" s="335" t="s">
        <v>57</v>
      </c>
      <c r="D17" s="427">
        <f>M28</f>
        <v>0.91226261482055127</v>
      </c>
      <c r="E17" s="154" t="s">
        <v>58</v>
      </c>
      <c r="F17" s="913">
        <f>(SQRT(F15*F15+F16*F16))</f>
        <v>5.9686681931566607E-2</v>
      </c>
      <c r="G17" s="68"/>
      <c r="H17" s="152" t="s">
        <v>221</v>
      </c>
      <c r="I17" s="66">
        <f>IF(I15="","",C16/I15)</f>
        <v>13.333333333333334</v>
      </c>
      <c r="J17" s="8">
        <f t="shared" si="15"/>
        <v>51</v>
      </c>
      <c r="K17" s="899">
        <f t="shared" si="16"/>
        <v>4.900980294098034E-2</v>
      </c>
      <c r="L17" s="526">
        <f t="shared" si="17"/>
        <v>33.387888707037646</v>
      </c>
      <c r="M17" s="51">
        <f t="shared" si="18"/>
        <v>3.4612703097075134E-2</v>
      </c>
      <c r="N17" s="530">
        <f t="shared" si="19"/>
        <v>372.77577741407526</v>
      </c>
      <c r="O17" s="526">
        <f t="shared" si="20"/>
        <v>51</v>
      </c>
      <c r="P17" s="8">
        <f t="shared" si="12"/>
        <v>3</v>
      </c>
      <c r="R17" s="46">
        <f t="shared" si="21"/>
        <v>6.5000000000000002E-2</v>
      </c>
      <c r="S17" s="3">
        <f t="shared" si="2"/>
        <v>307.68620736551139</v>
      </c>
      <c r="T17" s="3">
        <f t="shared" si="3"/>
        <v>38.164155391673702</v>
      </c>
      <c r="U17" s="3">
        <f t="shared" si="4"/>
        <v>38.559649430360665</v>
      </c>
      <c r="V17" s="3"/>
      <c r="W17" s="3">
        <f t="shared" si="5"/>
        <v>337.27810650887568</v>
      </c>
      <c r="X17" s="3">
        <f t="shared" si="6"/>
        <v>67.455621301775139</v>
      </c>
      <c r="Y17" s="3">
        <f t="shared" si="7"/>
        <v>33.727810650887569</v>
      </c>
      <c r="Z17" s="3"/>
      <c r="AA17" s="3">
        <f t="shared" si="8"/>
        <v>550.29585798816549</v>
      </c>
      <c r="AB17" s="3">
        <f t="shared" si="9"/>
        <v>183.43195266272184</v>
      </c>
      <c r="AC17" s="3">
        <f t="shared" si="10"/>
        <v>30.571992110453639</v>
      </c>
      <c r="AD17" s="3"/>
      <c r="AE17" s="557">
        <f t="shared" si="13"/>
        <v>2.5000000000000001E-3</v>
      </c>
      <c r="AF17" s="557">
        <f t="shared" si="11"/>
        <v>4.2250000000000005E-3</v>
      </c>
      <c r="AG17" s="32">
        <f t="shared" si="14"/>
        <v>1.0103629710818451</v>
      </c>
      <c r="AH17" s="32">
        <f t="shared" si="14"/>
        <v>0.5</v>
      </c>
      <c r="AI17" s="32">
        <f t="shared" si="14"/>
        <v>0.16666666666666666</v>
      </c>
      <c r="AJ17" s="32">
        <f t="shared" si="14"/>
        <v>0.16291451884327379</v>
      </c>
      <c r="AK17" s="32">
        <f t="shared" si="14"/>
        <v>6</v>
      </c>
      <c r="AL17" s="32">
        <f t="shared" si="14"/>
        <v>2</v>
      </c>
      <c r="AM17" s="32">
        <f t="shared" si="14"/>
        <v>0</v>
      </c>
      <c r="AN17" s="32">
        <f t="shared" si="14"/>
        <v>0.14249999999999999</v>
      </c>
      <c r="AO17" s="32">
        <f t="shared" si="14"/>
        <v>0.12916666666666665</v>
      </c>
      <c r="AP17" s="21">
        <v>13</v>
      </c>
      <c r="AQ17" s="23">
        <v>6.4000000000000001E-2</v>
      </c>
      <c r="AR17" s="23">
        <v>0.1283</v>
      </c>
      <c r="AS17" s="23">
        <v>0.69550000000000001</v>
      </c>
      <c r="AT17" s="23">
        <v>1.7823</v>
      </c>
      <c r="AU17" s="23">
        <v>2.1787999999999998</v>
      </c>
    </row>
    <row r="18" spans="1:47" x14ac:dyDescent="0.25">
      <c r="B18" s="156" t="s">
        <v>3</v>
      </c>
      <c r="C18" s="336" t="s">
        <v>59</v>
      </c>
      <c r="D18" s="427">
        <f>M27</f>
        <v>0.91226261482055127</v>
      </c>
      <c r="E18" s="592" t="s">
        <v>266</v>
      </c>
      <c r="F18" s="339">
        <f>(C15*E3+C16*E5)+H3+H4+H5</f>
        <v>400</v>
      </c>
      <c r="G18" s="68"/>
      <c r="H18" s="152" t="s">
        <v>11</v>
      </c>
      <c r="I18" s="66">
        <f>(F18/C15)</f>
        <v>10</v>
      </c>
      <c r="J18" s="8">
        <f t="shared" si="15"/>
        <v>54</v>
      </c>
      <c r="K18" s="899">
        <f t="shared" si="16"/>
        <v>4.7628967220784017E-2</v>
      </c>
      <c r="L18" s="526">
        <f t="shared" si="17"/>
        <v>30.041724617524338</v>
      </c>
      <c r="M18" s="51">
        <f t="shared" si="18"/>
        <v>3.6489470830384507E-2</v>
      </c>
      <c r="N18" s="530">
        <f t="shared" si="19"/>
        <v>384.08344923504865</v>
      </c>
      <c r="O18" s="526">
        <f t="shared" si="20"/>
        <v>54</v>
      </c>
      <c r="P18" s="8">
        <f t="shared" si="12"/>
        <v>3</v>
      </c>
      <c r="R18" s="46">
        <f t="shared" si="21"/>
        <v>6.7500000000000004E-2</v>
      </c>
      <c r="S18" s="3">
        <f t="shared" si="2"/>
        <v>285.31670257762096</v>
      </c>
      <c r="T18" s="3">
        <f t="shared" si="3"/>
        <v>35.389532297354485</v>
      </c>
      <c r="U18" s="3">
        <f t="shared" si="4"/>
        <v>35.756272997151996</v>
      </c>
      <c r="V18" s="3"/>
      <c r="W18" s="3">
        <f t="shared" si="5"/>
        <v>312.75720164609049</v>
      </c>
      <c r="X18" s="3">
        <f t="shared" si="6"/>
        <v>62.551440329218096</v>
      </c>
      <c r="Y18" s="3">
        <f t="shared" si="7"/>
        <v>31.275720164609048</v>
      </c>
      <c r="Z18" s="3"/>
      <c r="AA18" s="3">
        <f t="shared" si="8"/>
        <v>510.28806584362127</v>
      </c>
      <c r="AB18" s="3">
        <f t="shared" si="9"/>
        <v>170.09602194787377</v>
      </c>
      <c r="AC18" s="3">
        <f t="shared" si="10"/>
        <v>28.349336991312292</v>
      </c>
      <c r="AD18" s="3"/>
      <c r="AE18" s="557">
        <f t="shared" si="13"/>
        <v>2.5000000000000001E-3</v>
      </c>
      <c r="AF18" s="557">
        <f t="shared" si="11"/>
        <v>4.5562500000000004E-3</v>
      </c>
      <c r="AG18" s="32">
        <f t="shared" si="14"/>
        <v>1.0103629710818451</v>
      </c>
      <c r="AH18" s="32">
        <f t="shared" si="14"/>
        <v>0.5</v>
      </c>
      <c r="AI18" s="32">
        <f t="shared" si="14"/>
        <v>0.16666666666666666</v>
      </c>
      <c r="AJ18" s="32">
        <f t="shared" si="14"/>
        <v>0.16291451884327379</v>
      </c>
      <c r="AK18" s="32">
        <f t="shared" si="14"/>
        <v>6</v>
      </c>
      <c r="AL18" s="32">
        <f t="shared" si="14"/>
        <v>2</v>
      </c>
      <c r="AM18" s="32">
        <f t="shared" si="14"/>
        <v>0</v>
      </c>
      <c r="AN18" s="32">
        <f t="shared" si="14"/>
        <v>0.14249999999999999</v>
      </c>
      <c r="AO18" s="32">
        <f t="shared" si="14"/>
        <v>0.12916666666666665</v>
      </c>
      <c r="AP18" s="21">
        <v>14</v>
      </c>
      <c r="AQ18" s="23">
        <v>6.3899999999999998E-2</v>
      </c>
      <c r="AR18" s="23">
        <v>0.12809999999999999</v>
      </c>
      <c r="AS18" s="23">
        <v>0.69379999999999997</v>
      </c>
      <c r="AT18" s="23">
        <v>1.7708999999999999</v>
      </c>
      <c r="AU18" s="23">
        <v>2.1604000000000001</v>
      </c>
    </row>
    <row r="19" spans="1:47" ht="13" thickBot="1" x14ac:dyDescent="0.3">
      <c r="B19" s="178"/>
      <c r="C19" s="70"/>
      <c r="D19" s="70"/>
      <c r="E19" s="428" t="s">
        <v>300</v>
      </c>
      <c r="F19" s="324">
        <f>(F18/G11)</f>
        <v>1.1077142693041868</v>
      </c>
      <c r="G19" s="324">
        <f>1/(F19)</f>
        <v>0.90275987924950374</v>
      </c>
      <c r="H19" s="180" t="s">
        <v>142</v>
      </c>
      <c r="I19" s="104">
        <f>SQRT(C15)*F17</f>
        <v>0.37749172176353751</v>
      </c>
      <c r="J19" s="8">
        <f t="shared" si="15"/>
        <v>57</v>
      </c>
      <c r="K19" s="899">
        <f t="shared" si="16"/>
        <v>4.6358632497276529E-2</v>
      </c>
      <c r="L19" s="526">
        <f t="shared" si="17"/>
        <v>27.569528415961297</v>
      </c>
      <c r="M19" s="51">
        <f t="shared" si="18"/>
        <v>3.8090381895991232E-2</v>
      </c>
      <c r="N19" s="530">
        <f t="shared" si="19"/>
        <v>397.13905683192257</v>
      </c>
      <c r="O19" s="526">
        <f t="shared" si="20"/>
        <v>57</v>
      </c>
      <c r="P19" s="8">
        <f t="shared" si="12"/>
        <v>3</v>
      </c>
      <c r="R19" s="46">
        <f t="shared" si="21"/>
        <v>7.0000000000000007E-2</v>
      </c>
      <c r="S19" s="3">
        <f t="shared" si="2"/>
        <v>265.30086247332355</v>
      </c>
      <c r="T19" s="3">
        <f t="shared" si="3"/>
        <v>32.906848271392114</v>
      </c>
      <c r="U19" s="3">
        <f t="shared" si="4"/>
        <v>33.24786098842322</v>
      </c>
      <c r="V19" s="3"/>
      <c r="W19" s="3">
        <f t="shared" si="5"/>
        <v>290.81632653061217</v>
      </c>
      <c r="X19" s="3">
        <f t="shared" si="6"/>
        <v>58.163265306122433</v>
      </c>
      <c r="Y19" s="3">
        <f t="shared" si="7"/>
        <v>29.081632653061217</v>
      </c>
      <c r="Z19" s="3"/>
      <c r="AA19" s="3">
        <f t="shared" si="8"/>
        <v>474.48979591836724</v>
      </c>
      <c r="AB19" s="3">
        <f t="shared" si="9"/>
        <v>158.16326530612241</v>
      </c>
      <c r="AC19" s="3">
        <f t="shared" si="10"/>
        <v>26.360544217687067</v>
      </c>
      <c r="AD19" s="3"/>
      <c r="AE19" s="557">
        <f t="shared" si="13"/>
        <v>2.5000000000000001E-3</v>
      </c>
      <c r="AF19" s="557">
        <f t="shared" si="11"/>
        <v>4.9000000000000007E-3</v>
      </c>
      <c r="AG19" s="32">
        <f t="shared" si="14"/>
        <v>1.0103629710818451</v>
      </c>
      <c r="AH19" s="32">
        <f t="shared" si="14"/>
        <v>0.5</v>
      </c>
      <c r="AI19" s="32">
        <f t="shared" si="14"/>
        <v>0.16666666666666666</v>
      </c>
      <c r="AJ19" s="32">
        <f t="shared" si="14"/>
        <v>0.16291451884327379</v>
      </c>
      <c r="AK19" s="32">
        <f t="shared" si="14"/>
        <v>6</v>
      </c>
      <c r="AL19" s="32">
        <f t="shared" si="14"/>
        <v>2</v>
      </c>
      <c r="AM19" s="32">
        <f t="shared" si="14"/>
        <v>0</v>
      </c>
      <c r="AN19" s="32">
        <f t="shared" si="14"/>
        <v>0.14249999999999999</v>
      </c>
      <c r="AO19" s="32">
        <f t="shared" si="14"/>
        <v>0.12916666666666665</v>
      </c>
      <c r="AP19" s="21">
        <v>15</v>
      </c>
      <c r="AQ19" s="23">
        <v>6.3799999999999996E-2</v>
      </c>
      <c r="AR19" s="23">
        <v>0.128</v>
      </c>
      <c r="AS19" s="23">
        <v>0.69240000000000002</v>
      </c>
      <c r="AT19" s="23">
        <v>1.7613000000000001</v>
      </c>
      <c r="AU19" s="23">
        <v>2.1448</v>
      </c>
    </row>
    <row r="20" spans="1:47" ht="13.5" thickBot="1" x14ac:dyDescent="0.35">
      <c r="B20" s="319" t="s">
        <v>213</v>
      </c>
      <c r="C20" s="320" t="s">
        <v>117</v>
      </c>
      <c r="D20" s="320" t="s">
        <v>139</v>
      </c>
      <c r="E20" s="321" t="s">
        <v>143</v>
      </c>
      <c r="F20" s="320" t="s">
        <v>115</v>
      </c>
      <c r="G20" s="320" t="s">
        <v>118</v>
      </c>
      <c r="H20" s="320" t="s">
        <v>77</v>
      </c>
      <c r="I20" s="322" t="s">
        <v>130</v>
      </c>
      <c r="J20" s="8">
        <f t="shared" si="15"/>
        <v>60</v>
      </c>
      <c r="K20" s="899">
        <f t="shared" si="16"/>
        <v>4.5184805705753193E-2</v>
      </c>
      <c r="L20" s="526">
        <f t="shared" si="17"/>
        <v>25.668449197860966</v>
      </c>
      <c r="M20" s="51">
        <f t="shared" si="18"/>
        <v>3.947573094109004E-2</v>
      </c>
      <c r="N20" s="530">
        <f t="shared" si="19"/>
        <v>411.33689839572196</v>
      </c>
      <c r="O20" s="526">
        <f t="shared" si="20"/>
        <v>60</v>
      </c>
      <c r="P20" s="8">
        <f t="shared" si="12"/>
        <v>3</v>
      </c>
      <c r="R20" s="46">
        <f t="shared" si="21"/>
        <v>7.2500000000000009E-2</v>
      </c>
      <c r="S20" s="3">
        <f t="shared" si="2"/>
        <v>247.31971008214697</v>
      </c>
      <c r="T20" s="3">
        <f t="shared" si="3"/>
        <v>30.676538697706793</v>
      </c>
      <c r="U20" s="3">
        <f t="shared" si="4"/>
        <v>30.994438781122231</v>
      </c>
      <c r="V20" s="3"/>
      <c r="W20" s="3">
        <f t="shared" si="5"/>
        <v>271.10582639714619</v>
      </c>
      <c r="X20" s="3">
        <f t="shared" si="6"/>
        <v>54.221165279429229</v>
      </c>
      <c r="Y20" s="3">
        <f t="shared" si="7"/>
        <v>27.110582639714615</v>
      </c>
      <c r="Z20" s="3"/>
      <c r="AA20" s="3">
        <f t="shared" si="8"/>
        <v>442.3305588585016</v>
      </c>
      <c r="AB20" s="3">
        <f t="shared" si="9"/>
        <v>147.44351961950053</v>
      </c>
      <c r="AC20" s="3">
        <f t="shared" si="10"/>
        <v>24.573919936583422</v>
      </c>
      <c r="AD20" s="3"/>
      <c r="AE20" s="557">
        <f t="shared" si="13"/>
        <v>2.5000000000000001E-3</v>
      </c>
      <c r="AF20" s="557">
        <f t="shared" si="11"/>
        <v>5.2562500000000014E-3</v>
      </c>
      <c r="AG20" s="32">
        <f t="shared" si="14"/>
        <v>1.0103629710818451</v>
      </c>
      <c r="AH20" s="32">
        <f t="shared" si="14"/>
        <v>0.5</v>
      </c>
      <c r="AI20" s="32">
        <f t="shared" si="14"/>
        <v>0.16666666666666666</v>
      </c>
      <c r="AJ20" s="32">
        <f t="shared" si="14"/>
        <v>0.16291451884327379</v>
      </c>
      <c r="AK20" s="32">
        <f t="shared" si="14"/>
        <v>6</v>
      </c>
      <c r="AL20" s="32">
        <f t="shared" si="14"/>
        <v>2</v>
      </c>
      <c r="AM20" s="32">
        <f t="shared" si="14"/>
        <v>0</v>
      </c>
      <c r="AN20" s="32">
        <f t="shared" si="14"/>
        <v>0.14249999999999999</v>
      </c>
      <c r="AO20" s="32">
        <f t="shared" si="14"/>
        <v>0.12916666666666665</v>
      </c>
      <c r="AP20" s="21">
        <v>16</v>
      </c>
      <c r="AQ20" s="23">
        <v>6.3799999999999996E-2</v>
      </c>
      <c r="AR20" s="23">
        <v>0.1278</v>
      </c>
      <c r="AS20" s="23">
        <v>0.69120000000000004</v>
      </c>
      <c r="AT20" s="23">
        <v>1.7531000000000001</v>
      </c>
      <c r="AU20" s="23">
        <v>2.1314000000000002</v>
      </c>
    </row>
    <row r="21" spans="1:47" ht="13.5" thickTop="1" x14ac:dyDescent="0.3">
      <c r="B21" s="146"/>
      <c r="C21" s="147" t="s">
        <v>138</v>
      </c>
      <c r="D21" s="147" t="s">
        <v>140</v>
      </c>
      <c r="E21" s="147" t="s">
        <v>210</v>
      </c>
      <c r="F21" s="430" t="s">
        <v>211</v>
      </c>
      <c r="G21" s="431"/>
      <c r="H21" s="432" t="s">
        <v>212</v>
      </c>
      <c r="I21" s="433"/>
      <c r="J21" s="8">
        <f t="shared" si="15"/>
        <v>63</v>
      </c>
      <c r="K21" s="899">
        <f t="shared" si="16"/>
        <v>4.4095855184409838E-2</v>
      </c>
      <c r="L21" s="526">
        <f t="shared" si="17"/>
        <v>24.161073825503358</v>
      </c>
      <c r="M21" s="51">
        <f t="shared" si="18"/>
        <v>4.0688518719112346E-2</v>
      </c>
      <c r="N21" s="530">
        <f t="shared" si="19"/>
        <v>426.32214765100673</v>
      </c>
      <c r="O21" s="526">
        <f t="shared" si="20"/>
        <v>63</v>
      </c>
      <c r="P21" s="8">
        <f t="shared" si="12"/>
        <v>3</v>
      </c>
      <c r="R21" s="46">
        <f t="shared" si="21"/>
        <v>7.5000000000000011E-2</v>
      </c>
      <c r="S21" s="3">
        <f t="shared" si="2"/>
        <v>231.10652908787287</v>
      </c>
      <c r="T21" s="3">
        <f t="shared" si="3"/>
        <v>28.665521160857125</v>
      </c>
      <c r="U21" s="3">
        <f t="shared" si="4"/>
        <v>28.962581127693106</v>
      </c>
      <c r="V21" s="3"/>
      <c r="W21" s="3">
        <f t="shared" si="5"/>
        <v>253.33333333333326</v>
      </c>
      <c r="X21" s="3">
        <f t="shared" si="6"/>
        <v>50.66666666666665</v>
      </c>
      <c r="Y21" s="3">
        <f t="shared" si="7"/>
        <v>25.333333333333325</v>
      </c>
      <c r="Z21" s="3"/>
      <c r="AA21" s="3">
        <f t="shared" si="8"/>
        <v>413.3333333333332</v>
      </c>
      <c r="AB21" s="3">
        <f t="shared" si="9"/>
        <v>137.77777777777774</v>
      </c>
      <c r="AC21" s="3">
        <f t="shared" si="10"/>
        <v>22.962962962962955</v>
      </c>
      <c r="AD21" s="3"/>
      <c r="AE21" s="557">
        <f t="shared" si="13"/>
        <v>2.5000000000000001E-3</v>
      </c>
      <c r="AF21" s="557">
        <f t="shared" si="11"/>
        <v>5.6250000000000015E-3</v>
      </c>
      <c r="AG21" s="32">
        <f t="shared" ref="AG21:AO27" si="22">AG20</f>
        <v>1.0103629710818451</v>
      </c>
      <c r="AH21" s="32">
        <f t="shared" si="22"/>
        <v>0.5</v>
      </c>
      <c r="AI21" s="32">
        <f t="shared" si="22"/>
        <v>0.16666666666666666</v>
      </c>
      <c r="AJ21" s="32">
        <f t="shared" si="22"/>
        <v>0.16291451884327379</v>
      </c>
      <c r="AK21" s="32">
        <f t="shared" si="22"/>
        <v>6</v>
      </c>
      <c r="AL21" s="32">
        <f t="shared" si="22"/>
        <v>2</v>
      </c>
      <c r="AM21" s="32">
        <f t="shared" si="22"/>
        <v>0</v>
      </c>
      <c r="AN21" s="32">
        <f t="shared" si="22"/>
        <v>0.14249999999999999</v>
      </c>
      <c r="AO21" s="32">
        <f t="shared" si="22"/>
        <v>0.12916666666666665</v>
      </c>
      <c r="AP21" s="21">
        <v>17</v>
      </c>
      <c r="AQ21" s="23">
        <v>6.3700000000000007E-2</v>
      </c>
      <c r="AR21" s="23">
        <v>0.12770000000000001</v>
      </c>
      <c r="AS21" s="23">
        <v>0.69010000000000005</v>
      </c>
      <c r="AT21" s="23">
        <v>1.7459</v>
      </c>
      <c r="AU21" s="23">
        <v>2.1198999999999999</v>
      </c>
    </row>
    <row r="22" spans="1:47" ht="15.75" customHeight="1" thickBot="1" x14ac:dyDescent="0.35">
      <c r="A22" s="468">
        <v>3</v>
      </c>
      <c r="B22" s="434" t="s">
        <v>330</v>
      </c>
      <c r="C22" s="435"/>
      <c r="D22" s="435"/>
      <c r="E22" s="435"/>
      <c r="F22" s="435"/>
      <c r="G22" s="435"/>
      <c r="H22" s="437"/>
      <c r="I22" s="437"/>
      <c r="J22" s="8">
        <f t="shared" si="15"/>
        <v>66</v>
      </c>
      <c r="K22" s="899">
        <f t="shared" si="16"/>
        <v>4.3082021842766452E-2</v>
      </c>
      <c r="L22" s="526">
        <f t="shared" si="17"/>
        <v>22.936576889661165</v>
      </c>
      <c r="M22" s="51">
        <f t="shared" si="18"/>
        <v>4.1760500403364355E-2</v>
      </c>
      <c r="N22" s="530">
        <f t="shared" si="19"/>
        <v>441.87315377932231</v>
      </c>
      <c r="O22" s="526">
        <f t="shared" si="20"/>
        <v>66</v>
      </c>
      <c r="P22" s="8">
        <f t="shared" si="12"/>
        <v>3</v>
      </c>
      <c r="R22" s="46">
        <f t="shared" si="21"/>
        <v>7.7500000000000013E-2</v>
      </c>
      <c r="S22" s="3">
        <f t="shared" si="2"/>
        <v>216.43691589915255</v>
      </c>
      <c r="T22" s="3">
        <f t="shared" si="3"/>
        <v>26.845961545027485</v>
      </c>
      <c r="U22" s="3">
        <f t="shared" si="4"/>
        <v>27.12416546818293</v>
      </c>
      <c r="V22" s="3"/>
      <c r="W22" s="3">
        <f t="shared" si="5"/>
        <v>237.25286160249729</v>
      </c>
      <c r="X22" s="3">
        <f t="shared" si="6"/>
        <v>47.450572320499461</v>
      </c>
      <c r="Y22" s="3">
        <f t="shared" si="7"/>
        <v>23.72528616024973</v>
      </c>
      <c r="Z22" s="3"/>
      <c r="AA22" s="3">
        <f t="shared" si="8"/>
        <v>387.09677419354819</v>
      </c>
      <c r="AB22" s="3">
        <f t="shared" si="9"/>
        <v>129.03225806451607</v>
      </c>
      <c r="AC22" s="3">
        <f t="shared" si="10"/>
        <v>21.50537634408601</v>
      </c>
      <c r="AD22" s="3"/>
      <c r="AE22" s="557">
        <f t="shared" si="13"/>
        <v>2.5000000000000001E-3</v>
      </c>
      <c r="AF22" s="557">
        <f t="shared" si="11"/>
        <v>6.006250000000002E-3</v>
      </c>
      <c r="AG22" s="32">
        <f t="shared" si="22"/>
        <v>1.0103629710818451</v>
      </c>
      <c r="AH22" s="32">
        <f t="shared" si="22"/>
        <v>0.5</v>
      </c>
      <c r="AI22" s="32">
        <f t="shared" si="22"/>
        <v>0.16666666666666666</v>
      </c>
      <c r="AJ22" s="32">
        <f t="shared" si="22"/>
        <v>0.16291451884327379</v>
      </c>
      <c r="AK22" s="32">
        <f t="shared" si="22"/>
        <v>6</v>
      </c>
      <c r="AL22" s="32">
        <f t="shared" si="22"/>
        <v>2</v>
      </c>
      <c r="AM22" s="32">
        <f t="shared" si="22"/>
        <v>0</v>
      </c>
      <c r="AN22" s="32">
        <f t="shared" si="22"/>
        <v>0.14249999999999999</v>
      </c>
      <c r="AO22" s="32">
        <f t="shared" si="22"/>
        <v>0.12916666666666665</v>
      </c>
      <c r="AP22" s="21">
        <v>18</v>
      </c>
      <c r="AQ22" s="23">
        <v>6.3600000000000004E-2</v>
      </c>
      <c r="AR22" s="23">
        <v>0.12759999999999999</v>
      </c>
      <c r="AS22" s="23">
        <v>0.68920000000000003</v>
      </c>
      <c r="AT22" s="23">
        <v>1.7396</v>
      </c>
      <c r="AU22" s="23">
        <v>2.1097999999999999</v>
      </c>
    </row>
    <row r="23" spans="1:47" ht="16" thickBot="1" x14ac:dyDescent="0.4">
      <c r="B23" s="438" t="s">
        <v>3</v>
      </c>
      <c r="C23" s="158" t="s">
        <v>96</v>
      </c>
      <c r="D23" s="918" t="s">
        <v>294</v>
      </c>
      <c r="E23" s="158"/>
      <c r="F23" s="159" t="s">
        <v>61</v>
      </c>
      <c r="G23" s="158"/>
      <c r="H23" s="158" t="s">
        <v>54</v>
      </c>
      <c r="I23" s="905">
        <f>I15</f>
        <v>6</v>
      </c>
      <c r="J23" s="8">
        <f t="shared" si="15"/>
        <v>69</v>
      </c>
      <c r="K23" s="899">
        <f t="shared" si="16"/>
        <v>4.2135048580019215E-2</v>
      </c>
      <c r="L23" s="526">
        <f t="shared" si="17"/>
        <v>21.922160444797463</v>
      </c>
      <c r="M23" s="51">
        <f t="shared" si="18"/>
        <v>4.271577789481798E-2</v>
      </c>
      <c r="N23" s="530">
        <f t="shared" si="19"/>
        <v>457.84432088959494</v>
      </c>
      <c r="O23" s="526">
        <f t="shared" si="20"/>
        <v>69</v>
      </c>
      <c r="P23" s="8">
        <f t="shared" si="12"/>
        <v>3</v>
      </c>
      <c r="R23" s="46">
        <f t="shared" si="21"/>
        <v>8.0000000000000016E-2</v>
      </c>
      <c r="S23" s="3">
        <f t="shared" si="2"/>
        <v>203.12097283113829</v>
      </c>
      <c r="T23" s="3">
        <f t="shared" si="3"/>
        <v>25.194305707784583</v>
      </c>
      <c r="U23" s="3">
        <f t="shared" si="4"/>
        <v>25.455393569261521</v>
      </c>
      <c r="V23" s="3"/>
      <c r="W23" s="3">
        <f t="shared" si="5"/>
        <v>222.65624999999989</v>
      </c>
      <c r="X23" s="3">
        <f t="shared" si="6"/>
        <v>44.531249999999979</v>
      </c>
      <c r="Y23" s="3">
        <f t="shared" si="7"/>
        <v>22.265624999999989</v>
      </c>
      <c r="Z23" s="3"/>
      <c r="AA23" s="3">
        <f t="shared" si="8"/>
        <v>363.28124999999977</v>
      </c>
      <c r="AB23" s="3">
        <f t="shared" si="9"/>
        <v>121.09374999999993</v>
      </c>
      <c r="AC23" s="3">
        <f t="shared" si="10"/>
        <v>20.182291666666654</v>
      </c>
      <c r="AD23" s="3"/>
      <c r="AE23" s="557">
        <f t="shared" si="13"/>
        <v>2.5000000000000001E-3</v>
      </c>
      <c r="AF23" s="557">
        <f t="shared" si="11"/>
        <v>6.4000000000000029E-3</v>
      </c>
      <c r="AG23" s="32">
        <f t="shared" si="22"/>
        <v>1.0103629710818451</v>
      </c>
      <c r="AH23" s="32">
        <f t="shared" si="22"/>
        <v>0.5</v>
      </c>
      <c r="AI23" s="32">
        <f t="shared" si="22"/>
        <v>0.16666666666666666</v>
      </c>
      <c r="AJ23" s="32">
        <f t="shared" si="22"/>
        <v>0.16291451884327379</v>
      </c>
      <c r="AK23" s="32">
        <f t="shared" si="22"/>
        <v>6</v>
      </c>
      <c r="AL23" s="32">
        <f t="shared" si="22"/>
        <v>2</v>
      </c>
      <c r="AM23" s="32">
        <f t="shared" si="22"/>
        <v>0</v>
      </c>
      <c r="AN23" s="32">
        <f t="shared" si="22"/>
        <v>0.14249999999999999</v>
      </c>
      <c r="AO23" s="32">
        <f t="shared" si="22"/>
        <v>0.12916666666666665</v>
      </c>
      <c r="AP23" s="21">
        <v>19</v>
      </c>
      <c r="AQ23" s="23">
        <v>6.3600000000000004E-2</v>
      </c>
      <c r="AR23" s="23">
        <v>0.12740000000000001</v>
      </c>
      <c r="AS23" s="23">
        <v>0.68840000000000001</v>
      </c>
      <c r="AT23" s="23">
        <v>1.7341</v>
      </c>
      <c r="AU23" s="23">
        <v>2.1009000000000002</v>
      </c>
    </row>
    <row r="24" spans="1:47" ht="14.5" thickBot="1" x14ac:dyDescent="0.35">
      <c r="B24" s="438" t="s">
        <v>97</v>
      </c>
      <c r="C24" s="916">
        <f>(C25*F24)</f>
        <v>35.879629629629626</v>
      </c>
      <c r="D24" s="106">
        <f>(C3/SQRT(C24))</f>
        <v>5.8431100865781203E-2</v>
      </c>
      <c r="E24" s="162" t="s">
        <v>9</v>
      </c>
      <c r="F24" s="107">
        <f>1/(I23)</f>
        <v>0.16666666666666666</v>
      </c>
      <c r="G24" s="158" t="s">
        <v>62</v>
      </c>
      <c r="H24" s="158"/>
      <c r="I24" s="439"/>
      <c r="J24" s="8">
        <f t="shared" si="15"/>
        <v>72</v>
      </c>
      <c r="K24" s="899">
        <f t="shared" si="16"/>
        <v>4.1247895569215272E-2</v>
      </c>
      <c r="L24" s="526">
        <f t="shared" si="17"/>
        <v>21.068032187271399</v>
      </c>
      <c r="M24" s="51">
        <f t="shared" si="18"/>
        <v>4.3573054874671238E-2</v>
      </c>
      <c r="N24" s="530">
        <f t="shared" si="19"/>
        <v>474.1360643745428</v>
      </c>
      <c r="O24" s="526">
        <f t="shared" si="20"/>
        <v>72</v>
      </c>
      <c r="P24" s="8">
        <f t="shared" si="12"/>
        <v>3</v>
      </c>
      <c r="R24" s="46">
        <f t="shared" si="21"/>
        <v>8.2500000000000018E-2</v>
      </c>
      <c r="S24" s="3">
        <f t="shared" si="2"/>
        <v>190.99713147758087</v>
      </c>
      <c r="T24" s="3">
        <f t="shared" si="3"/>
        <v>23.690513356080267</v>
      </c>
      <c r="U24" s="3">
        <f t="shared" si="4"/>
        <v>23.936017460903393</v>
      </c>
      <c r="V24" s="3"/>
      <c r="W24" s="3">
        <f t="shared" si="5"/>
        <v>209.36639118457288</v>
      </c>
      <c r="X24" s="3">
        <f t="shared" si="6"/>
        <v>41.87327823691458</v>
      </c>
      <c r="Y24" s="3">
        <f t="shared" si="7"/>
        <v>20.93663911845729</v>
      </c>
      <c r="Z24" s="3"/>
      <c r="AA24" s="3">
        <f t="shared" si="8"/>
        <v>341.59779614325055</v>
      </c>
      <c r="AB24" s="3">
        <f t="shared" si="9"/>
        <v>113.86593204775018</v>
      </c>
      <c r="AC24" s="3">
        <f t="shared" si="10"/>
        <v>18.977655341291694</v>
      </c>
      <c r="AD24" s="3"/>
      <c r="AE24" s="557">
        <f t="shared" si="13"/>
        <v>2.5000000000000001E-3</v>
      </c>
      <c r="AF24" s="557">
        <f t="shared" si="11"/>
        <v>6.8062500000000033E-3</v>
      </c>
      <c r="AG24" s="32">
        <f t="shared" si="22"/>
        <v>1.0103629710818451</v>
      </c>
      <c r="AH24" s="32">
        <f t="shared" si="22"/>
        <v>0.5</v>
      </c>
      <c r="AI24" s="32">
        <f t="shared" si="22"/>
        <v>0.16666666666666666</v>
      </c>
      <c r="AJ24" s="32">
        <f t="shared" si="22"/>
        <v>0.16291451884327379</v>
      </c>
      <c r="AK24" s="32">
        <f t="shared" si="22"/>
        <v>6</v>
      </c>
      <c r="AL24" s="32">
        <f t="shared" si="22"/>
        <v>2</v>
      </c>
      <c r="AM24" s="32">
        <f t="shared" si="22"/>
        <v>0</v>
      </c>
      <c r="AN24" s="32">
        <f t="shared" si="22"/>
        <v>0.14249999999999999</v>
      </c>
      <c r="AO24" s="32">
        <f t="shared" si="22"/>
        <v>0.12916666666666665</v>
      </c>
      <c r="AP24" s="21">
        <v>20</v>
      </c>
      <c r="AQ24" s="23">
        <v>6.3500000000000001E-2</v>
      </c>
      <c r="AR24" s="23">
        <v>0.12740000000000001</v>
      </c>
      <c r="AS24" s="23">
        <v>0.68759999999999999</v>
      </c>
      <c r="AT24" s="23">
        <v>1.7291000000000001</v>
      </c>
      <c r="AU24" s="23">
        <v>2.093</v>
      </c>
    </row>
    <row r="25" spans="1:47" ht="15" thickTop="1" thickBot="1" x14ac:dyDescent="0.35">
      <c r="B25" s="438" t="s">
        <v>98</v>
      </c>
      <c r="C25" s="915">
        <f>((C3*C3)+(C5*C5*F24))/(D9*D9*F24)</f>
        <v>215.27777777777777</v>
      </c>
      <c r="D25" s="106">
        <f>(C5/SQRT(C25))</f>
        <v>1.3631084021929557E-2</v>
      </c>
      <c r="E25" s="163" t="s">
        <v>13</v>
      </c>
      <c r="F25" s="159" t="s">
        <v>3</v>
      </c>
      <c r="G25" s="159" t="s">
        <v>3</v>
      </c>
      <c r="H25" s="159" t="s">
        <v>3</v>
      </c>
      <c r="I25" s="439"/>
      <c r="J25" s="10" t="s">
        <v>3</v>
      </c>
      <c r="K25" s="10" t="s">
        <v>3</v>
      </c>
      <c r="L25" s="525" t="s">
        <v>84</v>
      </c>
      <c r="M25" s="325">
        <f>C11*E3+C12*E5</f>
        <v>361.10395169980148</v>
      </c>
      <c r="N25" s="523" t="s">
        <v>3</v>
      </c>
      <c r="O25" s="523" t="s">
        <v>3</v>
      </c>
      <c r="R25" s="46">
        <f t="shared" si="21"/>
        <v>8.500000000000002E-2</v>
      </c>
      <c r="S25" s="3">
        <f t="shared" si="2"/>
        <v>179.92722852862076</v>
      </c>
      <c r="T25" s="3">
        <f t="shared" si="3"/>
        <v>22.317447270563505</v>
      </c>
      <c r="U25" s="3">
        <f t="shared" si="4"/>
        <v>22.54872233124896</v>
      </c>
      <c r="V25" s="3"/>
      <c r="W25" s="3">
        <f t="shared" si="5"/>
        <v>197.23183391003448</v>
      </c>
      <c r="X25" s="3">
        <f t="shared" si="6"/>
        <v>39.446366782006898</v>
      </c>
      <c r="Y25" s="3">
        <f t="shared" si="7"/>
        <v>19.723183391003449</v>
      </c>
      <c r="Z25" s="3"/>
      <c r="AA25" s="3">
        <f t="shared" si="8"/>
        <v>321.79930795847736</v>
      </c>
      <c r="AB25" s="3">
        <f t="shared" si="9"/>
        <v>107.26643598615911</v>
      </c>
      <c r="AC25" s="3">
        <f t="shared" si="10"/>
        <v>17.877739331026518</v>
      </c>
      <c r="AD25" s="3"/>
      <c r="AE25" s="557">
        <f t="shared" si="13"/>
        <v>2.5000000000000001E-3</v>
      </c>
      <c r="AF25" s="557">
        <f t="shared" si="11"/>
        <v>7.2250000000000031E-3</v>
      </c>
      <c r="AG25" s="32">
        <f t="shared" si="22"/>
        <v>1.0103629710818451</v>
      </c>
      <c r="AH25" s="32">
        <f t="shared" si="22"/>
        <v>0.5</v>
      </c>
      <c r="AI25" s="32">
        <f t="shared" si="22"/>
        <v>0.16666666666666666</v>
      </c>
      <c r="AJ25" s="32">
        <f t="shared" si="22"/>
        <v>0.16291451884327379</v>
      </c>
      <c r="AK25" s="32">
        <f t="shared" si="22"/>
        <v>6</v>
      </c>
      <c r="AL25" s="32">
        <f t="shared" si="22"/>
        <v>2</v>
      </c>
      <c r="AM25" s="32">
        <f t="shared" si="22"/>
        <v>0</v>
      </c>
      <c r="AN25" s="32">
        <f t="shared" si="22"/>
        <v>0.14249999999999999</v>
      </c>
      <c r="AO25" s="32">
        <f t="shared" si="22"/>
        <v>0.12916666666666665</v>
      </c>
      <c r="AP25" s="21">
        <v>21</v>
      </c>
      <c r="AQ25" s="23">
        <v>6.3500000000000001E-2</v>
      </c>
      <c r="AR25" s="23">
        <v>0.1273</v>
      </c>
      <c r="AS25" s="23">
        <v>0.68700000000000006</v>
      </c>
      <c r="AT25" s="23">
        <v>1.7246999999999999</v>
      </c>
      <c r="AU25" s="23">
        <v>2.0859999999999999</v>
      </c>
    </row>
    <row r="26" spans="1:47" ht="14.5" thickBot="1" x14ac:dyDescent="0.35">
      <c r="B26" s="438" t="s">
        <v>3</v>
      </c>
      <c r="C26" s="161" t="s">
        <v>3</v>
      </c>
      <c r="D26" s="914">
        <f>SQRT((D24*D24)+(D25*D25))</f>
        <v>0.06</v>
      </c>
      <c r="E26" s="164" t="s">
        <v>58</v>
      </c>
      <c r="F26" s="159" t="s">
        <v>3</v>
      </c>
      <c r="G26" s="537"/>
      <c r="H26" s="160" t="s">
        <v>103</v>
      </c>
      <c r="I26" s="440">
        <f>(C27/C24)</f>
        <v>18</v>
      </c>
      <c r="J26" s="10" t="s">
        <v>3</v>
      </c>
      <c r="L26" s="525" t="s">
        <v>85</v>
      </c>
      <c r="M26" s="326">
        <f>D15*E3+D16*E5</f>
        <v>395.83333333333326</v>
      </c>
      <c r="N26" s="234"/>
      <c r="O26" s="234"/>
      <c r="P26" s="538"/>
      <c r="R26" s="46">
        <f t="shared" si="21"/>
        <v>8.7500000000000022E-2</v>
      </c>
      <c r="S26" s="3">
        <f t="shared" si="2"/>
        <v>169.79255198292699</v>
      </c>
      <c r="T26" s="3">
        <f t="shared" si="3"/>
        <v>21.060382893690946</v>
      </c>
      <c r="U26" s="3">
        <f t="shared" si="4"/>
        <v>21.278631032590852</v>
      </c>
      <c r="V26" s="3"/>
      <c r="W26" s="3">
        <f t="shared" si="5"/>
        <v>186.12244897959172</v>
      </c>
      <c r="X26" s="3">
        <f t="shared" si="6"/>
        <v>37.224489795918345</v>
      </c>
      <c r="Y26" s="3">
        <f t="shared" si="7"/>
        <v>18.612244897959172</v>
      </c>
      <c r="Z26" s="3"/>
      <c r="AA26" s="3">
        <f t="shared" si="8"/>
        <v>303.67346938775489</v>
      </c>
      <c r="AB26" s="3">
        <f t="shared" si="9"/>
        <v>101.2244897959183</v>
      </c>
      <c r="AC26" s="3">
        <f t="shared" si="10"/>
        <v>16.870748299319715</v>
      </c>
      <c r="AD26" s="3"/>
      <c r="AE26" s="557">
        <f t="shared" si="13"/>
        <v>2.5000000000000001E-3</v>
      </c>
      <c r="AF26" s="557">
        <f t="shared" si="11"/>
        <v>7.6562500000000042E-3</v>
      </c>
      <c r="AG26" s="32">
        <f t="shared" si="22"/>
        <v>1.0103629710818451</v>
      </c>
      <c r="AH26" s="32">
        <f t="shared" si="22"/>
        <v>0.5</v>
      </c>
      <c r="AI26" s="32">
        <f t="shared" si="22"/>
        <v>0.16666666666666666</v>
      </c>
      <c r="AJ26" s="32">
        <f t="shared" si="22"/>
        <v>0.16291451884327379</v>
      </c>
      <c r="AK26" s="32">
        <f t="shared" si="22"/>
        <v>6</v>
      </c>
      <c r="AL26" s="32">
        <f t="shared" si="22"/>
        <v>2</v>
      </c>
      <c r="AM26" s="32">
        <f t="shared" si="22"/>
        <v>0</v>
      </c>
      <c r="AN26" s="32">
        <f t="shared" si="22"/>
        <v>0.14249999999999999</v>
      </c>
      <c r="AO26" s="32">
        <f t="shared" si="22"/>
        <v>0.12916666666666665</v>
      </c>
      <c r="AP26" s="21">
        <v>22</v>
      </c>
      <c r="AQ26" s="23">
        <v>6.3500000000000001E-2</v>
      </c>
      <c r="AR26" s="23">
        <v>0.12720000000000001</v>
      </c>
      <c r="AS26" s="23">
        <v>0.68640000000000001</v>
      </c>
      <c r="AT26" s="23">
        <v>1.7206999999999999</v>
      </c>
      <c r="AU26" s="23">
        <v>2.0796000000000001</v>
      </c>
    </row>
    <row r="27" spans="1:47" x14ac:dyDescent="0.25">
      <c r="B27" s="593" t="s">
        <v>267</v>
      </c>
      <c r="C27" s="441">
        <f>(C24*E3)+(C25*E5)+H3+H4+H5</f>
        <v>645.83333333333326</v>
      </c>
      <c r="D27" s="442" t="s">
        <v>3</v>
      </c>
      <c r="E27" s="443" t="s">
        <v>63</v>
      </c>
      <c r="F27" s="444">
        <f>(C27/G11)</f>
        <v>1.7884969973140517</v>
      </c>
      <c r="G27" s="442"/>
      <c r="H27" s="445" t="s">
        <v>95</v>
      </c>
      <c r="I27" s="446">
        <f>(G11/C27)</f>
        <v>0.55912869940614429</v>
      </c>
      <c r="J27" s="10" t="s">
        <v>3</v>
      </c>
      <c r="K27" s="10" t="s">
        <v>3</v>
      </c>
      <c r="L27" s="525" t="s">
        <v>86</v>
      </c>
      <c r="M27" s="327">
        <f>(M25/M26)</f>
        <v>0.91226261482055127</v>
      </c>
      <c r="N27" s="234"/>
      <c r="O27" s="234"/>
      <c r="P27" s="538"/>
      <c r="R27" s="46">
        <f>R26+AE27</f>
        <v>9.0000000000000024E-2</v>
      </c>
      <c r="S27" s="3">
        <f t="shared" si="2"/>
        <v>160.49064519991168</v>
      </c>
      <c r="T27" s="3">
        <f t="shared" si="3"/>
        <v>19.906611917261888</v>
      </c>
      <c r="U27" s="3">
        <f t="shared" si="4"/>
        <v>20.112903560897987</v>
      </c>
      <c r="V27" s="3"/>
      <c r="W27" s="3">
        <f t="shared" si="5"/>
        <v>175.92592592592581</v>
      </c>
      <c r="X27" s="3">
        <f t="shared" si="6"/>
        <v>35.185185185185162</v>
      </c>
      <c r="Y27" s="3">
        <f t="shared" si="7"/>
        <v>17.592592592592581</v>
      </c>
      <c r="Z27" s="3"/>
      <c r="AA27" s="3">
        <f t="shared" si="8"/>
        <v>287.03703703703684</v>
      </c>
      <c r="AB27" s="3">
        <f t="shared" si="9"/>
        <v>95.679012345678956</v>
      </c>
      <c r="AC27" s="3">
        <f t="shared" si="10"/>
        <v>15.946502057613159</v>
      </c>
      <c r="AD27" s="3"/>
      <c r="AE27" s="557">
        <f t="shared" si="13"/>
        <v>2.5000000000000001E-3</v>
      </c>
      <c r="AF27" s="557">
        <f t="shared" si="11"/>
        <v>8.1000000000000048E-3</v>
      </c>
      <c r="AG27" s="32">
        <f t="shared" si="22"/>
        <v>1.0103629710818451</v>
      </c>
      <c r="AH27" s="32">
        <f t="shared" si="22"/>
        <v>0.5</v>
      </c>
      <c r="AI27" s="32">
        <f t="shared" si="22"/>
        <v>0.16666666666666666</v>
      </c>
      <c r="AJ27" s="32">
        <f t="shared" si="22"/>
        <v>0.16291451884327379</v>
      </c>
      <c r="AK27" s="32">
        <f t="shared" si="22"/>
        <v>6</v>
      </c>
      <c r="AL27" s="32">
        <f t="shared" si="22"/>
        <v>2</v>
      </c>
      <c r="AM27" s="32">
        <f t="shared" si="22"/>
        <v>0</v>
      </c>
      <c r="AN27" s="32">
        <f t="shared" si="22"/>
        <v>0.14249999999999999</v>
      </c>
      <c r="AO27" s="32">
        <f t="shared" si="22"/>
        <v>0.12916666666666665</v>
      </c>
      <c r="AP27" s="21">
        <v>23</v>
      </c>
      <c r="AQ27" s="23">
        <v>6.3399999999999998E-2</v>
      </c>
      <c r="AR27" s="23">
        <v>0.12709999999999999</v>
      </c>
      <c r="AS27" s="23">
        <v>0.68579999999999997</v>
      </c>
      <c r="AT27" s="23">
        <v>1.7171000000000001</v>
      </c>
      <c r="AU27" s="23">
        <v>2.0739000000000001</v>
      </c>
    </row>
    <row r="28" spans="1:47" ht="13" thickBot="1" x14ac:dyDescent="0.3">
      <c r="B28" s="10" t="s">
        <v>3</v>
      </c>
      <c r="D28" s="11" t="s">
        <v>3</v>
      </c>
      <c r="F28" s="10" t="s">
        <v>3</v>
      </c>
      <c r="H28" s="10" t="s">
        <v>3</v>
      </c>
      <c r="I28" s="10" t="s">
        <v>3</v>
      </c>
      <c r="J28" s="10" t="s">
        <v>3</v>
      </c>
      <c r="K28" s="10" t="s">
        <v>3</v>
      </c>
      <c r="L28" s="525" t="s">
        <v>87</v>
      </c>
      <c r="M28" s="327">
        <f>G11/G92</f>
        <v>0.91226261482055127</v>
      </c>
      <c r="N28" s="234"/>
      <c r="O28" s="234"/>
      <c r="P28" s="538"/>
      <c r="R28" s="3" t="s">
        <v>64</v>
      </c>
      <c r="S28" s="3" t="s">
        <v>64</v>
      </c>
      <c r="T28" s="3" t="s">
        <v>64</v>
      </c>
      <c r="U28" s="3" t="s">
        <v>64</v>
      </c>
      <c r="V28" s="3" t="s">
        <v>64</v>
      </c>
      <c r="W28" s="3" t="s">
        <v>64</v>
      </c>
      <c r="X28" s="3" t="s">
        <v>64</v>
      </c>
      <c r="Y28" s="3" t="s">
        <v>64</v>
      </c>
      <c r="Z28" s="3" t="s">
        <v>64</v>
      </c>
      <c r="AA28" s="3" t="s">
        <v>64</v>
      </c>
      <c r="AB28" s="3" t="s">
        <v>64</v>
      </c>
      <c r="AC28" s="3" t="s">
        <v>64</v>
      </c>
      <c r="AD28" s="3" t="s">
        <v>64</v>
      </c>
      <c r="AE28" s="557" t="s">
        <v>64</v>
      </c>
      <c r="AF28" s="557"/>
      <c r="AG28" s="32"/>
      <c r="AH28" s="32"/>
      <c r="AI28" s="32"/>
      <c r="AJ28" s="32"/>
      <c r="AK28" s="32"/>
      <c r="AL28" s="32"/>
      <c r="AM28" s="32"/>
      <c r="AN28" s="32"/>
      <c r="AO28" s="32"/>
      <c r="AP28" s="21">
        <v>24</v>
      </c>
      <c r="AQ28" s="23">
        <v>6.3399999999999998E-2</v>
      </c>
      <c r="AR28" s="23">
        <v>0.12709999999999999</v>
      </c>
      <c r="AS28" s="23">
        <v>0.68530000000000002</v>
      </c>
      <c r="AT28" s="23">
        <v>1.7139</v>
      </c>
      <c r="AU28" s="23">
        <v>2.0687000000000002</v>
      </c>
    </row>
    <row r="29" spans="1:47" ht="13.5" thickBot="1" x14ac:dyDescent="0.35">
      <c r="A29" s="468">
        <v>4</v>
      </c>
      <c r="B29" s="597" t="s">
        <v>268</v>
      </c>
      <c r="C29" s="598"/>
      <c r="D29" s="925"/>
      <c r="E29" s="926"/>
      <c r="F29" s="927" t="s">
        <v>270</v>
      </c>
      <c r="G29" s="928"/>
      <c r="I29" s="140" t="s">
        <v>269</v>
      </c>
      <c r="J29" s="141"/>
      <c r="K29" s="599" t="s">
        <v>134</v>
      </c>
      <c r="L29" s="525" t="s">
        <v>35</v>
      </c>
      <c r="M29" s="328">
        <f>+F123</f>
        <v>5.9686681931566607E-2</v>
      </c>
      <c r="N29" s="234"/>
      <c r="O29" s="234"/>
      <c r="P29" s="538"/>
      <c r="R29" s="28" t="s">
        <v>65</v>
      </c>
      <c r="S29" s="12"/>
      <c r="T29" s="12"/>
      <c r="U29" s="12"/>
      <c r="V29" s="11"/>
      <c r="W29" s="11"/>
      <c r="X29" s="11"/>
      <c r="Y29" s="11"/>
      <c r="Z29" s="11"/>
      <c r="AA29" s="11"/>
      <c r="AB29" s="11"/>
      <c r="AC29" s="11"/>
      <c r="AD29" s="11"/>
      <c r="AE29" s="557"/>
      <c r="AF29" s="557"/>
      <c r="AG29" s="32"/>
      <c r="AH29" s="32"/>
      <c r="AI29" s="32"/>
      <c r="AJ29" s="32"/>
      <c r="AK29" s="32"/>
      <c r="AL29" s="32"/>
      <c r="AM29" s="32"/>
      <c r="AN29" s="32"/>
      <c r="AO29" s="32"/>
      <c r="AP29" s="21">
        <v>25</v>
      </c>
      <c r="AQ29" s="23">
        <v>6.3399999999999998E-2</v>
      </c>
      <c r="AR29" s="23">
        <v>0.127</v>
      </c>
      <c r="AS29" s="23">
        <v>0.68479999999999996</v>
      </c>
      <c r="AT29" s="23">
        <v>1.7109000000000001</v>
      </c>
      <c r="AU29" s="23">
        <v>2.0638999999999998</v>
      </c>
    </row>
    <row r="30" spans="1:47" ht="16" thickTop="1" x14ac:dyDescent="0.35">
      <c r="B30" s="119" t="s">
        <v>182</v>
      </c>
      <c r="C30" s="903">
        <v>0.75</v>
      </c>
      <c r="D30" s="929" t="s">
        <v>293</v>
      </c>
      <c r="E30" s="1257">
        <v>0.06</v>
      </c>
      <c r="F30" s="934" t="s">
        <v>67</v>
      </c>
      <c r="G30" s="936" t="s">
        <v>119</v>
      </c>
      <c r="I30" s="142" t="s">
        <v>295</v>
      </c>
      <c r="J30" s="518">
        <f>E11</f>
        <v>5.2028271718295646E-2</v>
      </c>
      <c r="K30" s="520">
        <f>C11</f>
        <v>45.254033012020493</v>
      </c>
      <c r="L30" s="234"/>
      <c r="M30" s="538"/>
      <c r="N30" s="234"/>
      <c r="O30" s="234"/>
      <c r="P30" s="538"/>
      <c r="R30" s="13" t="str">
        <f t="shared" ref="R30:S45" si="23">R1</f>
        <v>Other SE%</v>
      </c>
      <c r="S30" s="14"/>
      <c r="T30" s="15" t="str">
        <f t="shared" ref="T30:U45" si="24">T1</f>
        <v>Start @</v>
      </c>
      <c r="U30" s="27">
        <v>7</v>
      </c>
      <c r="W30" s="16" t="str">
        <f t="shared" ref="W30:Y45" si="25">W1</f>
        <v>Increment</v>
      </c>
      <c r="X30" s="559">
        <f t="shared" si="25"/>
        <v>2.5000000000000001E-3</v>
      </c>
      <c r="AP30" s="21">
        <v>26</v>
      </c>
      <c r="AQ30" s="23">
        <v>6.3299999999999995E-2</v>
      </c>
      <c r="AR30" s="23">
        <v>0.12690000000000001</v>
      </c>
      <c r="AS30" s="23">
        <v>0.68440000000000001</v>
      </c>
      <c r="AT30" s="23">
        <v>1.7081</v>
      </c>
      <c r="AU30" s="23">
        <v>2.0594999999999999</v>
      </c>
    </row>
    <row r="31" spans="1:47" ht="16" thickBot="1" x14ac:dyDescent="0.4">
      <c r="B31" s="119" t="s">
        <v>68</v>
      </c>
      <c r="C31" s="904">
        <v>123</v>
      </c>
      <c r="D31" s="930" t="s">
        <v>105</v>
      </c>
      <c r="E31" s="1258">
        <f>IF(E30&gt;0,(E30*C32),"")</f>
        <v>6.9351157864373167E-2</v>
      </c>
      <c r="F31" s="933">
        <v>0.05</v>
      </c>
      <c r="G31" s="138">
        <f>IF(E30&gt;0,TINV(0.95,$C$31-1)*E30,"")</f>
        <v>3.77015482710734E-3</v>
      </c>
      <c r="I31" s="142" t="s">
        <v>175</v>
      </c>
      <c r="J31" s="518">
        <f>E12</f>
        <v>2.9884091788227353E-2</v>
      </c>
      <c r="K31" s="521">
        <f>C12</f>
        <v>44.789876813839271</v>
      </c>
      <c r="L31" s="234"/>
      <c r="M31" s="538"/>
      <c r="N31" s="234"/>
      <c r="O31" s="234"/>
      <c r="P31" s="538"/>
      <c r="R31" s="17" t="str">
        <f t="shared" si="23"/>
        <v>Options</v>
      </c>
      <c r="S31" s="18"/>
      <c r="T31" s="9" t="str">
        <f t="shared" si="24"/>
        <v>Optimal</v>
      </c>
      <c r="U31" s="12"/>
      <c r="V31" s="19" t="str">
        <f>V2</f>
        <v xml:space="preserve"> </v>
      </c>
      <c r="W31" s="454" t="str">
        <f t="shared" si="25"/>
        <v xml:space="preserve"> </v>
      </c>
      <c r="X31" s="453" t="str">
        <f t="shared" si="25"/>
        <v>Other Options</v>
      </c>
      <c r="Y31" s="167"/>
      <c r="Z31" s="11"/>
      <c r="AB31" s="9" t="str">
        <f>AB2</f>
        <v>Full Measure</v>
      </c>
      <c r="AC31" s="11"/>
      <c r="AP31" s="21">
        <v>27</v>
      </c>
      <c r="AQ31" s="23">
        <v>6.3299999999999995E-2</v>
      </c>
      <c r="AR31" s="23">
        <v>0.12690000000000001</v>
      </c>
      <c r="AS31" s="23">
        <v>0.68400000000000005</v>
      </c>
      <c r="AT31" s="23">
        <v>1.7056</v>
      </c>
      <c r="AU31" s="23">
        <v>2.0554999999999999</v>
      </c>
    </row>
    <row r="32" spans="1:47" ht="14.5" thickBot="1" x14ac:dyDescent="0.35">
      <c r="B32" s="119" t="s">
        <v>101</v>
      </c>
      <c r="C32" s="917">
        <f>TINV(1-C30,C31-1)</f>
        <v>1.155852631072886</v>
      </c>
      <c r="D32" s="931"/>
      <c r="E32" s="932"/>
      <c r="F32" s="933">
        <v>0.5</v>
      </c>
      <c r="G32" s="138">
        <f>IF(E30&gt;0,TINV(0.5,$C$31-1)*E30,"")</f>
        <v>4.0590361791624834E-2</v>
      </c>
      <c r="I32" s="142" t="s">
        <v>176</v>
      </c>
      <c r="J32" s="519">
        <f>D9</f>
        <v>0.06</v>
      </c>
      <c r="L32" s="234"/>
      <c r="M32" s="538"/>
      <c r="N32" s="234"/>
      <c r="O32" s="234"/>
      <c r="P32" s="538"/>
      <c r="R32" s="15" t="str">
        <f t="shared" si="23"/>
        <v>SE%</v>
      </c>
      <c r="S32" s="9" t="str">
        <f t="shared" si="23"/>
        <v>COST</v>
      </c>
      <c r="T32" s="9" t="str">
        <f t="shared" si="24"/>
        <v>n*BAR</v>
      </c>
      <c r="U32" s="9" t="str">
        <f t="shared" si="24"/>
        <v>nTC</v>
      </c>
      <c r="V32" s="11"/>
      <c r="W32" s="9" t="str">
        <f t="shared" si="25"/>
        <v>COST</v>
      </c>
      <c r="X32" s="9" t="str">
        <f t="shared" si="25"/>
        <v>n*BAR</v>
      </c>
      <c r="Y32" s="9" t="str">
        <f t="shared" si="25"/>
        <v>nTC</v>
      </c>
      <c r="Z32" s="11"/>
      <c r="AA32" s="9" t="str">
        <f t="shared" ref="AA32:AC46" si="26">AA3</f>
        <v>COST</v>
      </c>
      <c r="AB32" s="9" t="str">
        <f>AB3</f>
        <v>n*BAR</v>
      </c>
      <c r="AC32" s="9" t="str">
        <f>AC3</f>
        <v>nTC</v>
      </c>
      <c r="AP32" s="21">
        <v>28</v>
      </c>
      <c r="AQ32" s="23">
        <v>6.3299999999999995E-2</v>
      </c>
      <c r="AR32" s="23">
        <v>0.1268</v>
      </c>
      <c r="AS32" s="23">
        <v>0.68369999999999997</v>
      </c>
      <c r="AT32" s="23">
        <v>1.7033</v>
      </c>
      <c r="AU32" s="23">
        <v>2.0518000000000001</v>
      </c>
    </row>
    <row r="33" spans="1:47" ht="13.5" thickBot="1" x14ac:dyDescent="0.35">
      <c r="B33" s="59"/>
      <c r="C33" s="60" t="s">
        <v>3</v>
      </c>
      <c r="D33" s="595" t="s">
        <v>129</v>
      </c>
      <c r="E33" s="596"/>
      <c r="F33" s="935">
        <v>0.95</v>
      </c>
      <c r="G33" s="139">
        <f>IF(E30&gt;0,TINV(0.05,$C$31-1)*E30,"")</f>
        <v>0.11877599270919841</v>
      </c>
      <c r="I33" s="143"/>
      <c r="J33" s="144"/>
      <c r="L33" s="234"/>
      <c r="M33" s="538"/>
      <c r="N33" s="234"/>
      <c r="O33" s="234"/>
      <c r="P33" s="538"/>
      <c r="R33" s="26">
        <f t="shared" si="23"/>
        <v>3.2499999999999973E-2</v>
      </c>
      <c r="S33" s="11">
        <f t="shared" si="23"/>
        <v>1230.7448294620476</v>
      </c>
      <c r="T33" s="11">
        <f t="shared" si="24"/>
        <v>152.65662156669507</v>
      </c>
      <c r="U33" s="11">
        <f t="shared" si="24"/>
        <v>154.23859772144291</v>
      </c>
      <c r="V33" s="11"/>
      <c r="W33" s="11">
        <f t="shared" si="25"/>
        <v>1349.112426035505</v>
      </c>
      <c r="X33" s="11">
        <f t="shared" si="25"/>
        <v>269.82248520710101</v>
      </c>
      <c r="Y33" s="11">
        <f t="shared" si="25"/>
        <v>134.91124260355051</v>
      </c>
      <c r="Z33" s="11"/>
      <c r="AA33" s="11">
        <f t="shared" si="26"/>
        <v>2201.1834319526661</v>
      </c>
      <c r="AB33" s="11">
        <f>AB4</f>
        <v>733.72781065088873</v>
      </c>
      <c r="AC33" s="11">
        <f>AC4</f>
        <v>122.28796844181478</v>
      </c>
      <c r="AP33" s="21">
        <v>29</v>
      </c>
      <c r="AQ33" s="23">
        <v>6.3299999999999995E-2</v>
      </c>
      <c r="AR33" s="23">
        <v>0.1268</v>
      </c>
      <c r="AS33" s="23">
        <v>0.68340000000000001</v>
      </c>
      <c r="AT33" s="23">
        <v>1.7011000000000001</v>
      </c>
      <c r="AU33" s="23">
        <v>2.0484</v>
      </c>
    </row>
    <row r="34" spans="1:47" ht="13.5" thickBot="1" x14ac:dyDescent="0.35">
      <c r="F34" s="602"/>
      <c r="L34" s="234"/>
      <c r="M34" s="538"/>
      <c r="N34" s="234"/>
      <c r="O34" s="234"/>
      <c r="P34" s="538"/>
      <c r="R34" s="26">
        <f t="shared" si="23"/>
        <v>3.4999999999999976E-2</v>
      </c>
      <c r="S34" s="11">
        <f t="shared" si="23"/>
        <v>1061.2034498932958</v>
      </c>
      <c r="T34" s="11">
        <f t="shared" si="24"/>
        <v>131.62739308556866</v>
      </c>
      <c r="U34" s="11">
        <f t="shared" si="24"/>
        <v>132.99144395369308</v>
      </c>
      <c r="V34" s="11"/>
      <c r="W34" s="11">
        <f t="shared" si="25"/>
        <v>1163.2653061224505</v>
      </c>
      <c r="X34" s="11">
        <f t="shared" si="25"/>
        <v>232.6530612244901</v>
      </c>
      <c r="Y34" s="11">
        <f t="shared" si="25"/>
        <v>116.32653061224505</v>
      </c>
      <c r="Z34" s="11"/>
      <c r="AA34" s="11">
        <f t="shared" si="26"/>
        <v>1897.9591836734721</v>
      </c>
      <c r="AB34" s="11">
        <f t="shared" si="26"/>
        <v>632.65306122449067</v>
      </c>
      <c r="AC34" s="11">
        <f t="shared" si="26"/>
        <v>105.44217687074844</v>
      </c>
      <c r="AP34" s="21">
        <v>30</v>
      </c>
      <c r="AQ34" s="23">
        <v>6.3299999999999995E-2</v>
      </c>
      <c r="AR34" s="23">
        <v>0.1268</v>
      </c>
      <c r="AS34" s="23">
        <v>0.68300000000000005</v>
      </c>
      <c r="AT34" s="23">
        <v>1.6991000000000001</v>
      </c>
      <c r="AU34" s="23">
        <v>2.0451999999999999</v>
      </c>
    </row>
    <row r="35" spans="1:47" ht="13.5" thickBot="1" x14ac:dyDescent="0.35">
      <c r="A35" s="468" t="s">
        <v>245</v>
      </c>
      <c r="B35" s="79"/>
      <c r="C35" s="80"/>
      <c r="D35" s="80"/>
      <c r="E35" s="81" t="s">
        <v>248</v>
      </c>
      <c r="F35" s="80"/>
      <c r="G35" s="80"/>
      <c r="H35" s="80"/>
      <c r="I35" s="80"/>
      <c r="J35" s="82"/>
      <c r="L35" s="234"/>
      <c r="M35" s="538"/>
      <c r="N35" s="234"/>
      <c r="O35" s="234"/>
      <c r="P35" s="538"/>
      <c r="R35" s="26">
        <f t="shared" si="23"/>
        <v>3.7499999999999978E-2</v>
      </c>
      <c r="S35" s="11">
        <f t="shared" si="23"/>
        <v>924.42611635149308</v>
      </c>
      <c r="T35" s="11">
        <f t="shared" si="24"/>
        <v>114.66208464342868</v>
      </c>
      <c r="U35" s="11">
        <f t="shared" si="24"/>
        <v>115.85032451077262</v>
      </c>
      <c r="V35" s="11"/>
      <c r="W35" s="11">
        <f t="shared" si="25"/>
        <v>1013.3333333333344</v>
      </c>
      <c r="X35" s="11">
        <f t="shared" si="25"/>
        <v>202.66666666666688</v>
      </c>
      <c r="Y35" s="11">
        <f t="shared" si="25"/>
        <v>101.33333333333344</v>
      </c>
      <c r="Z35" s="11"/>
      <c r="AA35" s="11">
        <f t="shared" si="26"/>
        <v>1653.3333333333348</v>
      </c>
      <c r="AB35" s="11">
        <f t="shared" si="26"/>
        <v>551.11111111111165</v>
      </c>
      <c r="AC35" s="11">
        <f t="shared" si="26"/>
        <v>91.851851851851933</v>
      </c>
      <c r="AP35" s="21">
        <v>31</v>
      </c>
      <c r="AQ35" s="23">
        <v>6.3200000000000006E-2</v>
      </c>
      <c r="AR35" s="23">
        <v>0.12670000000000001</v>
      </c>
      <c r="AS35" s="23">
        <v>0.68279999999999996</v>
      </c>
      <c r="AT35" s="23">
        <v>1.6973</v>
      </c>
      <c r="AU35" s="23">
        <v>2.0423</v>
      </c>
    </row>
    <row r="36" spans="1:47" ht="13.5" thickBot="1" x14ac:dyDescent="0.35">
      <c r="B36" s="621"/>
      <c r="C36" s="80"/>
      <c r="D36" s="80"/>
      <c r="E36" s="80"/>
      <c r="F36" s="622" t="s">
        <v>273</v>
      </c>
      <c r="G36" s="80"/>
      <c r="H36" s="80" t="s">
        <v>3</v>
      </c>
      <c r="I36" s="80"/>
      <c r="J36" s="623"/>
      <c r="L36" s="234"/>
      <c r="M36" s="538"/>
      <c r="N36" s="234"/>
      <c r="O36" s="234"/>
      <c r="P36" s="538"/>
      <c r="R36" s="26">
        <f t="shared" si="23"/>
        <v>3.999999999999998E-2</v>
      </c>
      <c r="S36" s="11">
        <f t="shared" si="23"/>
        <v>812.48389132455429</v>
      </c>
      <c r="T36" s="11">
        <f t="shared" si="24"/>
        <v>100.77722283113847</v>
      </c>
      <c r="U36" s="11">
        <f t="shared" si="24"/>
        <v>101.82157427704622</v>
      </c>
      <c r="V36" s="11"/>
      <c r="W36" s="11">
        <f t="shared" si="25"/>
        <v>890.6250000000008</v>
      </c>
      <c r="X36" s="11">
        <f t="shared" si="25"/>
        <v>178.12500000000017</v>
      </c>
      <c r="Y36" s="11">
        <f t="shared" si="25"/>
        <v>89.062500000000085</v>
      </c>
      <c r="Z36" s="11"/>
      <c r="AA36" s="11">
        <f t="shared" si="26"/>
        <v>1453.1250000000014</v>
      </c>
      <c r="AB36" s="11">
        <f t="shared" si="26"/>
        <v>484.37500000000051</v>
      </c>
      <c r="AC36" s="11">
        <f t="shared" si="26"/>
        <v>80.729166666666742</v>
      </c>
      <c r="AP36" s="21">
        <v>41</v>
      </c>
      <c r="AQ36" s="23">
        <v>6.2899999999999998E-2</v>
      </c>
      <c r="AR36" s="23">
        <v>0.12620000000000001</v>
      </c>
      <c r="AS36" s="23">
        <v>0.6804</v>
      </c>
      <c r="AT36" s="23">
        <v>1.6841999999999999</v>
      </c>
      <c r="AU36" s="23">
        <v>2.0215000000000001</v>
      </c>
    </row>
    <row r="37" spans="1:47" ht="16" thickBot="1" x14ac:dyDescent="0.4">
      <c r="B37" s="620" t="s">
        <v>157</v>
      </c>
      <c r="C37" s="45"/>
      <c r="D37" s="603"/>
      <c r="E37" s="603"/>
      <c r="F37" s="603"/>
      <c r="G37" s="609"/>
      <c r="H37" s="1244" t="s">
        <v>272</v>
      </c>
      <c r="I37" s="920">
        <v>20</v>
      </c>
      <c r="J37" s="1251"/>
      <c r="L37" s="628" t="s">
        <v>3</v>
      </c>
      <c r="M37" s="538"/>
      <c r="N37" s="234"/>
      <c r="O37" s="234"/>
      <c r="P37" s="538"/>
      <c r="R37" s="26">
        <f t="shared" si="23"/>
        <v>4.2499999999999982E-2</v>
      </c>
      <c r="S37" s="11">
        <f t="shared" si="23"/>
        <v>719.70891411448395</v>
      </c>
      <c r="T37" s="11">
        <f t="shared" si="24"/>
        <v>89.269789082254135</v>
      </c>
      <c r="U37" s="11">
        <f t="shared" si="24"/>
        <v>90.194889324995955</v>
      </c>
      <c r="V37" s="11"/>
      <c r="W37" s="11">
        <f t="shared" si="25"/>
        <v>788.92733564013906</v>
      </c>
      <c r="X37" s="11">
        <f t="shared" si="25"/>
        <v>157.78546712802782</v>
      </c>
      <c r="Y37" s="11">
        <f t="shared" si="25"/>
        <v>78.892733564013909</v>
      </c>
      <c r="Z37" s="11"/>
      <c r="AA37" s="11">
        <f t="shared" si="26"/>
        <v>1287.1972318339112</v>
      </c>
      <c r="AB37" s="11">
        <f t="shared" si="26"/>
        <v>429.06574394463706</v>
      </c>
      <c r="AC37" s="11">
        <f t="shared" si="26"/>
        <v>71.510957324106172</v>
      </c>
      <c r="AP37" s="21">
        <v>61</v>
      </c>
      <c r="AQ37" s="23">
        <v>6.2799999999999995E-2</v>
      </c>
      <c r="AR37" s="23">
        <v>0.12590000000000001</v>
      </c>
      <c r="AS37" s="23">
        <v>0.67830000000000001</v>
      </c>
      <c r="AT37" s="23">
        <v>1.671</v>
      </c>
      <c r="AU37" s="23">
        <v>2.0007999999999999</v>
      </c>
    </row>
    <row r="38" spans="1:47" ht="13" x14ac:dyDescent="0.3">
      <c r="B38" s="610"/>
      <c r="C38" s="52" t="s">
        <v>148</v>
      </c>
      <c r="D38" s="664">
        <v>8.5</v>
      </c>
      <c r="E38" s="616">
        <f>+D38</f>
        <v>8.5</v>
      </c>
      <c r="F38" s="617">
        <f>IF(F40="","",((2*F39)/SQRT((43560/F40)-D41))*12 )</f>
        <v>8.5</v>
      </c>
      <c r="G38" s="609" t="s">
        <v>108</v>
      </c>
      <c r="H38" s="1247" t="s">
        <v>3</v>
      </c>
      <c r="I38" s="1248"/>
      <c r="J38" s="1249"/>
      <c r="L38" s="656"/>
      <c r="R38" s="26">
        <f t="shared" si="23"/>
        <v>4.4999999999999984E-2</v>
      </c>
      <c r="S38" s="11">
        <f t="shared" si="23"/>
        <v>641.96258079964764</v>
      </c>
      <c r="T38" s="11">
        <f t="shared" si="24"/>
        <v>79.626447669047664</v>
      </c>
      <c r="U38" s="11">
        <f t="shared" si="24"/>
        <v>80.451614243592061</v>
      </c>
      <c r="V38" s="11"/>
      <c r="W38" s="11">
        <f t="shared" si="25"/>
        <v>703.70370370370415</v>
      </c>
      <c r="X38" s="11">
        <f t="shared" si="25"/>
        <v>140.74074074074082</v>
      </c>
      <c r="Y38" s="11">
        <f t="shared" si="25"/>
        <v>70.370370370370409</v>
      </c>
      <c r="Z38" s="11"/>
      <c r="AA38" s="11">
        <f t="shared" si="26"/>
        <v>1148.1481481481487</v>
      </c>
      <c r="AB38" s="11">
        <f t="shared" si="26"/>
        <v>382.71604938271628</v>
      </c>
      <c r="AC38" s="11">
        <f t="shared" si="26"/>
        <v>63.786008230452708</v>
      </c>
      <c r="AP38" s="21">
        <v>121</v>
      </c>
      <c r="AQ38" s="23">
        <v>6.2700000000000006E-2</v>
      </c>
      <c r="AR38" s="23">
        <v>0.12559999999999999</v>
      </c>
      <c r="AS38" s="23">
        <v>0.67620000000000002</v>
      </c>
      <c r="AT38" s="23">
        <v>1.6579999999999999</v>
      </c>
      <c r="AU38" s="23">
        <v>1.9803999999999999</v>
      </c>
    </row>
    <row r="39" spans="1:47" ht="13" x14ac:dyDescent="0.3">
      <c r="B39" s="610"/>
      <c r="C39" s="52" t="s">
        <v>149</v>
      </c>
      <c r="D39" s="664">
        <v>19</v>
      </c>
      <c r="E39" s="617">
        <f>IF(E40="","",(SQRT((43560/E40)-D41)*(E38))/2/12)</f>
        <v>18.999999999999996</v>
      </c>
      <c r="F39" s="604">
        <f>+D39</f>
        <v>19</v>
      </c>
      <c r="G39" s="609" t="s">
        <v>73</v>
      </c>
      <c r="H39" s="1247" t="s">
        <v>3</v>
      </c>
      <c r="I39" s="1248"/>
      <c r="J39" s="1249"/>
      <c r="K39" s="11" t="s">
        <v>3</v>
      </c>
      <c r="L39" s="234"/>
      <c r="R39" s="26">
        <f t="shared" si="23"/>
        <v>4.7499999999999987E-2</v>
      </c>
      <c r="S39" s="11">
        <f t="shared" si="23"/>
        <v>576.1658619919275</v>
      </c>
      <c r="T39" s="11">
        <f t="shared" si="24"/>
        <v>71.465288212663268</v>
      </c>
      <c r="U39" s="11">
        <f t="shared" si="24"/>
        <v>72.205880927766827</v>
      </c>
      <c r="V39" s="11"/>
      <c r="W39" s="11">
        <f t="shared" si="25"/>
        <v>631.57894736842138</v>
      </c>
      <c r="X39" s="11">
        <f t="shared" si="25"/>
        <v>126.31578947368428</v>
      </c>
      <c r="Y39" s="11">
        <f t="shared" si="25"/>
        <v>63.157894736842138</v>
      </c>
      <c r="Z39" s="11"/>
      <c r="AA39" s="11">
        <f t="shared" si="26"/>
        <v>1030.4709141274243</v>
      </c>
      <c r="AB39" s="11">
        <f t="shared" si="26"/>
        <v>343.49030470914141</v>
      </c>
      <c r="AC39" s="11">
        <f t="shared" si="26"/>
        <v>57.248384118190231</v>
      </c>
      <c r="AP39" s="21" t="s">
        <v>71</v>
      </c>
      <c r="AQ39" s="23">
        <v>6.2700000000000006E-2</v>
      </c>
      <c r="AR39" s="23">
        <v>0.12570000000000001</v>
      </c>
      <c r="AS39" s="23">
        <v>0.67449999999999999</v>
      </c>
      <c r="AT39" s="23">
        <v>1.6449</v>
      </c>
      <c r="AU39" s="23">
        <v>1.96</v>
      </c>
    </row>
    <row r="40" spans="1:47" ht="13.5" thickBot="1" x14ac:dyDescent="0.35">
      <c r="B40" s="611"/>
      <c r="C40" s="1259" t="s">
        <v>327</v>
      </c>
      <c r="D40" s="668">
        <f>IF(D38="","",43560/((D39*2/(D38/12))^2+D41) )</f>
        <v>15.135474376731306</v>
      </c>
      <c r="E40" s="654">
        <f>+D40</f>
        <v>15.135474376731306</v>
      </c>
      <c r="F40" s="655">
        <f>+D40</f>
        <v>15.135474376731306</v>
      </c>
      <c r="G40" s="624" t="s">
        <v>274</v>
      </c>
      <c r="H40" s="1247"/>
      <c r="I40" s="1248"/>
      <c r="J40" s="1250"/>
      <c r="K40" s="461" t="s">
        <v>150</v>
      </c>
      <c r="L40" s="527"/>
      <c r="M40" s="447"/>
      <c r="N40" s="532"/>
      <c r="R40" s="26">
        <f t="shared" si="23"/>
        <v>4.9999999999999989E-2</v>
      </c>
      <c r="S40" s="11">
        <f t="shared" si="23"/>
        <v>519.98969044771445</v>
      </c>
      <c r="T40" s="11">
        <f t="shared" si="24"/>
        <v>64.497422611928585</v>
      </c>
      <c r="U40" s="11">
        <f t="shared" si="24"/>
        <v>65.165807537309547</v>
      </c>
      <c r="V40" s="11"/>
      <c r="W40" s="11">
        <f t="shared" si="25"/>
        <v>570.00000000000023</v>
      </c>
      <c r="X40" s="11">
        <f t="shared" si="25"/>
        <v>114.00000000000004</v>
      </c>
      <c r="Y40" s="11">
        <f t="shared" si="25"/>
        <v>57.000000000000021</v>
      </c>
      <c r="Z40" s="11"/>
      <c r="AA40" s="11">
        <f t="shared" si="26"/>
        <v>930.00000000000045</v>
      </c>
      <c r="AB40" s="11">
        <f t="shared" si="26"/>
        <v>310.00000000000017</v>
      </c>
      <c r="AC40" s="11">
        <f t="shared" si="26"/>
        <v>51.666666666666693</v>
      </c>
      <c r="AP40" s="21"/>
      <c r="AQ40" s="23"/>
      <c r="AR40" s="23"/>
      <c r="AS40" s="23"/>
      <c r="AT40" s="23"/>
      <c r="AU40" s="23"/>
    </row>
    <row r="41" spans="1:47" ht="15.5" x14ac:dyDescent="0.35">
      <c r="B41" s="606"/>
      <c r="C41" s="618" t="s">
        <v>286</v>
      </c>
      <c r="D41" s="901">
        <v>0</v>
      </c>
      <c r="E41" s="45"/>
      <c r="F41" s="1245"/>
      <c r="G41" s="1255" t="s">
        <v>283</v>
      </c>
      <c r="H41" s="625">
        <f>SQRT(43560/(I37))/2/12</f>
        <v>1.9445436482630056</v>
      </c>
      <c r="I41" s="1248" t="s">
        <v>153</v>
      </c>
      <c r="J41" s="1252"/>
      <c r="K41" s="1152" t="s">
        <v>231</v>
      </c>
      <c r="L41" s="1272">
        <f>I37/4.356</f>
        <v>4.5913682277318646</v>
      </c>
      <c r="M41" s="1152" t="s">
        <v>318</v>
      </c>
      <c r="N41" s="1273"/>
      <c r="R41" s="26">
        <f t="shared" si="23"/>
        <v>5.2499999999999991E-2</v>
      </c>
      <c r="S41" s="11">
        <f t="shared" si="23"/>
        <v>471.64597773035325</v>
      </c>
      <c r="T41" s="11">
        <f t="shared" si="24"/>
        <v>58.501063593586011</v>
      </c>
      <c r="U41" s="11">
        <f t="shared" si="24"/>
        <v>59.107308423863529</v>
      </c>
      <c r="V41" s="11"/>
      <c r="W41" s="11">
        <f t="shared" si="25"/>
        <v>517.00680272108855</v>
      </c>
      <c r="X41" s="11">
        <f t="shared" si="25"/>
        <v>103.40136054421771</v>
      </c>
      <c r="Y41" s="11">
        <f t="shared" si="25"/>
        <v>51.700680272108855</v>
      </c>
      <c r="Z41" s="11"/>
      <c r="AA41" s="11">
        <f t="shared" si="26"/>
        <v>843.53741496598661</v>
      </c>
      <c r="AB41" s="11">
        <f t="shared" si="26"/>
        <v>281.17913832199554</v>
      </c>
      <c r="AC41" s="11">
        <f t="shared" si="26"/>
        <v>46.863189720332585</v>
      </c>
    </row>
    <row r="42" spans="1:47" ht="13.5" thickBot="1" x14ac:dyDescent="0.35">
      <c r="B42" s="607"/>
      <c r="C42" s="619" t="s">
        <v>285</v>
      </c>
      <c r="D42" s="608"/>
      <c r="E42" s="608"/>
      <c r="F42" s="1246"/>
      <c r="G42" s="1256" t="s">
        <v>326</v>
      </c>
      <c r="H42" s="627">
        <f>H41-(1/24)</f>
        <v>1.9028769815963389</v>
      </c>
      <c r="I42" s="1253" t="s">
        <v>153</v>
      </c>
      <c r="J42" s="1254"/>
      <c r="K42" s="1153" t="s">
        <v>258</v>
      </c>
      <c r="L42" s="1274"/>
      <c r="M42" s="1275"/>
      <c r="N42" s="1276"/>
      <c r="R42" s="26">
        <f t="shared" si="23"/>
        <v>5.4999999999999993E-2</v>
      </c>
      <c r="S42" s="11">
        <f t="shared" si="23"/>
        <v>429.74354582455726</v>
      </c>
      <c r="T42" s="11">
        <f t="shared" si="24"/>
        <v>53.303655051180634</v>
      </c>
      <c r="U42" s="11">
        <f t="shared" si="24"/>
        <v>53.856039287032665</v>
      </c>
      <c r="V42" s="11"/>
      <c r="W42" s="11">
        <f t="shared" si="25"/>
        <v>471.07438016528931</v>
      </c>
      <c r="X42" s="11">
        <f t="shared" si="25"/>
        <v>94.214876033057863</v>
      </c>
      <c r="Y42" s="11">
        <f t="shared" si="25"/>
        <v>47.107438016528931</v>
      </c>
      <c r="Z42" s="11"/>
      <c r="AA42" s="11">
        <f t="shared" si="26"/>
        <v>768.59504132231416</v>
      </c>
      <c r="AB42" s="11">
        <f t="shared" si="26"/>
        <v>256.19834710743805</v>
      </c>
      <c r="AC42" s="11">
        <f t="shared" si="26"/>
        <v>42.69972451790634</v>
      </c>
    </row>
    <row r="43" spans="1:47" ht="16.5" thickTop="1" thickBot="1" x14ac:dyDescent="0.4">
      <c r="B43" s="902" t="s">
        <v>123</v>
      </c>
      <c r="C43" s="1200">
        <f>ROUND(H41,1)</f>
        <v>1.9</v>
      </c>
      <c r="D43" s="605" t="s">
        <v>251</v>
      </c>
      <c r="E43" s="605" t="s">
        <v>250</v>
      </c>
      <c r="F43" s="613"/>
      <c r="G43" s="474" t="s">
        <v>249</v>
      </c>
      <c r="H43" s="1199">
        <v>24</v>
      </c>
      <c r="I43" s="475" t="s">
        <v>72</v>
      </c>
      <c r="J43" s="471"/>
      <c r="O43" s="534"/>
      <c r="R43" s="26">
        <f t="shared" si="23"/>
        <v>5.7499999999999996E-2</v>
      </c>
      <c r="S43" s="11">
        <f t="shared" si="23"/>
        <v>393.18691149165545</v>
      </c>
      <c r="T43" s="11">
        <f t="shared" si="24"/>
        <v>48.769317664974345</v>
      </c>
      <c r="U43" s="11">
        <f t="shared" si="24"/>
        <v>49.274712693617793</v>
      </c>
      <c r="V43" s="11"/>
      <c r="W43" s="11">
        <f t="shared" si="25"/>
        <v>431.00189035916827</v>
      </c>
      <c r="X43" s="11">
        <f t="shared" si="25"/>
        <v>86.200378071833654</v>
      </c>
      <c r="Y43" s="11">
        <f t="shared" si="25"/>
        <v>43.100189035916827</v>
      </c>
      <c r="Z43" s="11"/>
      <c r="AA43" s="11">
        <f t="shared" si="26"/>
        <v>703.21361058601144</v>
      </c>
      <c r="AB43" s="11">
        <f t="shared" si="26"/>
        <v>234.40453686200382</v>
      </c>
      <c r="AC43" s="11">
        <f t="shared" si="26"/>
        <v>39.067422810333966</v>
      </c>
    </row>
    <row r="44" spans="1:47" ht="13.5" thickBot="1" x14ac:dyDescent="0.35">
      <c r="B44" s="615" t="s">
        <v>265</v>
      </c>
      <c r="C44" s="469" t="s">
        <v>264</v>
      </c>
      <c r="D44" s="1262">
        <f>IF(C43="","",(43560/(C43*2*12)^2))</f>
        <v>20.948753462603882</v>
      </c>
      <c r="E44" s="1263">
        <f>IF(C43="","",(43560/ ( (C43+1/24)*2*12)^2))</f>
        <v>20.059312199524765</v>
      </c>
      <c r="F44" s="1260" t="s">
        <v>112</v>
      </c>
      <c r="G44" s="1278">
        <f>IF(H43="","",(H41*H43) )</f>
        <v>46.669047558312137</v>
      </c>
      <c r="H44" s="470" t="s">
        <v>158</v>
      </c>
      <c r="I44" s="470"/>
      <c r="J44" s="471"/>
      <c r="R44" s="26">
        <f t="shared" si="23"/>
        <v>0.06</v>
      </c>
      <c r="S44" s="11">
        <f t="shared" si="23"/>
        <v>361.10395169980148</v>
      </c>
      <c r="T44" s="11">
        <f t="shared" si="24"/>
        <v>44.789876813839271</v>
      </c>
      <c r="U44" s="11">
        <f t="shared" si="24"/>
        <v>45.254033012020493</v>
      </c>
      <c r="V44" s="11"/>
      <c r="W44" s="11">
        <f t="shared" si="25"/>
        <v>395.83333333333326</v>
      </c>
      <c r="X44" s="11">
        <f t="shared" si="25"/>
        <v>79.166666666666657</v>
      </c>
      <c r="Y44" s="11">
        <f t="shared" si="25"/>
        <v>39.583333333333329</v>
      </c>
      <c r="Z44" s="11"/>
      <c r="AA44" s="11">
        <f t="shared" si="26"/>
        <v>645.83333333333326</v>
      </c>
      <c r="AB44" s="11">
        <f t="shared" si="26"/>
        <v>215.27777777777777</v>
      </c>
      <c r="AC44" s="11">
        <f t="shared" si="26"/>
        <v>35.879629629629626</v>
      </c>
    </row>
    <row r="45" spans="1:47" ht="13.5" thickBot="1" x14ac:dyDescent="0.35">
      <c r="A45" s="450"/>
      <c r="B45" s="37" t="s">
        <v>3</v>
      </c>
      <c r="C45" s="37" t="s">
        <v>3</v>
      </c>
      <c r="D45" s="1265">
        <f>D44/I37</f>
        <v>1.0474376731301942</v>
      </c>
      <c r="E45" s="1264">
        <f>I37/E44</f>
        <v>0.99704315886134076</v>
      </c>
      <c r="F45" s="1261" t="s">
        <v>112</v>
      </c>
      <c r="G45" s="1279">
        <f>IF(H43="","",G44-(H43/2/12) )</f>
        <v>45.669047558312137</v>
      </c>
      <c r="H45" s="472" t="s">
        <v>164</v>
      </c>
      <c r="I45" s="472"/>
      <c r="J45" s="614"/>
      <c r="R45" s="26">
        <f t="shared" si="23"/>
        <v>6.25E-2</v>
      </c>
      <c r="S45" s="11">
        <f t="shared" si="23"/>
        <v>332.79340188653708</v>
      </c>
      <c r="T45" s="11">
        <f t="shared" si="24"/>
        <v>41.278350471634276</v>
      </c>
      <c r="U45" s="11">
        <f t="shared" si="24"/>
        <v>41.706116823878091</v>
      </c>
      <c r="V45" s="11"/>
      <c r="W45" s="11">
        <f t="shared" si="25"/>
        <v>364.79999999999995</v>
      </c>
      <c r="X45" s="11">
        <f t="shared" si="25"/>
        <v>72.959999999999994</v>
      </c>
      <c r="Y45" s="11">
        <f t="shared" si="25"/>
        <v>36.479999999999997</v>
      </c>
      <c r="Z45" s="11"/>
      <c r="AA45" s="11">
        <f t="shared" si="26"/>
        <v>595.19999999999993</v>
      </c>
      <c r="AB45" s="11">
        <f t="shared" si="26"/>
        <v>198.39999999999998</v>
      </c>
      <c r="AC45" s="11">
        <f t="shared" si="26"/>
        <v>33.066666666666663</v>
      </c>
    </row>
    <row r="46" spans="1:47" ht="13.5" thickBot="1" x14ac:dyDescent="0.35">
      <c r="L46" s="534" t="s">
        <v>3</v>
      </c>
      <c r="R46" s="26">
        <f t="shared" ref="R46:U46" si="27">R17</f>
        <v>6.5000000000000002E-2</v>
      </c>
      <c r="S46" s="11">
        <f t="shared" si="27"/>
        <v>307.68620736551139</v>
      </c>
      <c r="T46" s="11">
        <f t="shared" si="27"/>
        <v>38.164155391673702</v>
      </c>
      <c r="U46" s="11">
        <f t="shared" si="27"/>
        <v>38.559649430360665</v>
      </c>
      <c r="V46" s="11"/>
      <c r="W46" s="11">
        <f t="shared" ref="W46:Y46" si="28">W17</f>
        <v>337.27810650887568</v>
      </c>
      <c r="X46" s="11">
        <f t="shared" si="28"/>
        <v>67.455621301775139</v>
      </c>
      <c r="Y46" s="11">
        <f t="shared" si="28"/>
        <v>33.727810650887569</v>
      </c>
      <c r="Z46" s="11"/>
      <c r="AA46" s="11">
        <f t="shared" si="26"/>
        <v>550.29585798816549</v>
      </c>
      <c r="AB46" s="11">
        <f t="shared" si="26"/>
        <v>183.43195266272184</v>
      </c>
      <c r="AC46" s="11">
        <f t="shared" si="26"/>
        <v>30.571992110453639</v>
      </c>
    </row>
    <row r="47" spans="1:47" ht="13.5" thickBot="1" x14ac:dyDescent="0.35">
      <c r="A47" s="468" t="s">
        <v>244</v>
      </c>
      <c r="B47" s="630"/>
      <c r="C47" s="631"/>
      <c r="D47" s="631"/>
      <c r="E47" s="632" t="s">
        <v>151</v>
      </c>
      <c r="F47" s="631"/>
      <c r="G47" s="631"/>
      <c r="H47" s="631"/>
      <c r="I47" s="631"/>
      <c r="J47" s="639"/>
      <c r="L47" s="234"/>
      <c r="M47" s="538"/>
      <c r="N47" s="234"/>
      <c r="R47" s="26"/>
      <c r="S47" s="11"/>
      <c r="T47" s="11"/>
      <c r="U47" s="11"/>
      <c r="V47" s="11"/>
      <c r="W47" s="11"/>
      <c r="X47" s="11"/>
      <c r="Y47" s="11"/>
      <c r="Z47" s="11"/>
      <c r="AA47" s="11"/>
      <c r="AB47" s="11"/>
      <c r="AC47" s="11"/>
    </row>
    <row r="48" spans="1:47" ht="13.5" thickBot="1" x14ac:dyDescent="0.35">
      <c r="B48" s="633"/>
      <c r="C48" s="631" t="s">
        <v>275</v>
      </c>
      <c r="D48" s="631"/>
      <c r="E48" s="631"/>
      <c r="F48" s="634"/>
      <c r="G48" s="631"/>
      <c r="H48" s="631"/>
      <c r="I48" s="631"/>
      <c r="J48" s="640"/>
      <c r="L48" s="234"/>
      <c r="M48" s="538"/>
      <c r="N48" s="234"/>
      <c r="R48" s="26"/>
      <c r="S48" s="11"/>
      <c r="T48" s="11"/>
      <c r="U48" s="11"/>
      <c r="V48" s="11"/>
      <c r="W48" s="11"/>
      <c r="X48" s="11"/>
      <c r="Y48" s="11"/>
      <c r="Z48" s="11"/>
      <c r="AA48" s="11"/>
      <c r="AB48" s="11"/>
      <c r="AC48" s="11"/>
    </row>
    <row r="49" spans="1:41" ht="16" thickBot="1" x14ac:dyDescent="0.4">
      <c r="B49" s="635" t="s">
        <v>157</v>
      </c>
      <c r="C49" s="636"/>
      <c r="D49" s="637"/>
      <c r="E49" s="637"/>
      <c r="F49" s="637"/>
      <c r="G49" s="638"/>
      <c r="H49" s="1207" t="s">
        <v>272</v>
      </c>
      <c r="I49" s="920">
        <f>I37/4.356</f>
        <v>4.5913682277318646</v>
      </c>
      <c r="J49" s="1219" t="s">
        <v>281</v>
      </c>
      <c r="L49" s="628" t="s">
        <v>3</v>
      </c>
      <c r="M49" s="538"/>
      <c r="N49" s="234"/>
      <c r="R49" s="26"/>
      <c r="S49" s="11"/>
      <c r="T49" s="11"/>
      <c r="U49" s="11"/>
      <c r="V49" s="11"/>
      <c r="W49" s="11"/>
      <c r="X49" s="11"/>
      <c r="Y49" s="11"/>
      <c r="Z49" s="11"/>
      <c r="AA49" s="11"/>
      <c r="AB49" s="11"/>
      <c r="AC49" s="11"/>
    </row>
    <row r="50" spans="1:41" ht="13" x14ac:dyDescent="0.3">
      <c r="B50" s="649"/>
      <c r="C50" s="643" t="s">
        <v>148</v>
      </c>
      <c r="D50" s="604">
        <f>D38*2.54</f>
        <v>21.59</v>
      </c>
      <c r="E50" s="604">
        <v>7</v>
      </c>
      <c r="F50" s="617">
        <f>IF(F52="","",((2*F51)/SQRT((10000/F52)-1))*100 )</f>
        <v>8.1575800404122525</v>
      </c>
      <c r="G50" s="609" t="s">
        <v>156</v>
      </c>
      <c r="H50" s="1208" t="s">
        <v>3</v>
      </c>
      <c r="I50" s="1213"/>
      <c r="J50" s="1214"/>
      <c r="L50" s="234"/>
      <c r="R50" s="26"/>
      <c r="S50" s="11"/>
      <c r="T50" s="11"/>
      <c r="U50" s="11"/>
      <c r="V50" s="11"/>
      <c r="W50" s="11"/>
      <c r="X50" s="11"/>
      <c r="Y50" s="11"/>
      <c r="Z50" s="11"/>
      <c r="AA50" s="11"/>
      <c r="AB50" s="11"/>
      <c r="AC50" s="11"/>
    </row>
    <row r="51" spans="1:41" ht="13" x14ac:dyDescent="0.3">
      <c r="B51" s="649"/>
      <c r="C51" s="643" t="s">
        <v>149</v>
      </c>
      <c r="D51" s="604">
        <f>D39/3.3</f>
        <v>5.7575757575757578</v>
      </c>
      <c r="E51" s="617">
        <f>IF(E52&gt;0,(SQRT((10000/E52)-1)*(E50))/2/100,"")</f>
        <v>0.51485857070275809</v>
      </c>
      <c r="F51" s="604">
        <v>0.6</v>
      </c>
      <c r="G51" s="609" t="s">
        <v>75</v>
      </c>
      <c r="H51" s="1208" t="s">
        <v>3</v>
      </c>
      <c r="I51" s="1213"/>
      <c r="J51" s="1214"/>
      <c r="K51" s="11" t="s">
        <v>3</v>
      </c>
      <c r="L51" s="234"/>
      <c r="R51" s="26"/>
      <c r="S51" s="11"/>
      <c r="T51" s="11"/>
      <c r="U51" s="11"/>
      <c r="V51" s="11"/>
      <c r="W51" s="11"/>
      <c r="X51" s="11"/>
      <c r="Y51" s="11"/>
      <c r="Z51" s="11"/>
      <c r="AA51" s="11"/>
      <c r="AB51" s="11"/>
      <c r="AC51" s="11"/>
    </row>
    <row r="52" spans="1:41" ht="13.5" thickBot="1" x14ac:dyDescent="0.35">
      <c r="B52" s="650"/>
      <c r="C52" s="651" t="s">
        <v>276</v>
      </c>
      <c r="D52" s="617">
        <f>10000/((D51*2/(D50/100))^2+D53)</f>
        <v>3.5153289536011076</v>
      </c>
      <c r="E52" s="652">
        <v>46</v>
      </c>
      <c r="F52" s="653">
        <v>46</v>
      </c>
      <c r="G52" s="641" t="s">
        <v>282</v>
      </c>
      <c r="H52" s="1208"/>
      <c r="I52" s="1213"/>
      <c r="J52" s="1215"/>
      <c r="K52" s="461" t="s">
        <v>150</v>
      </c>
      <c r="L52" s="527"/>
      <c r="M52" s="447"/>
      <c r="N52" s="532"/>
      <c r="R52" s="26"/>
      <c r="S52" s="11"/>
      <c r="T52" s="11"/>
      <c r="U52" s="11"/>
      <c r="V52" s="11"/>
      <c r="W52" s="11"/>
      <c r="X52" s="11"/>
      <c r="Y52" s="11"/>
      <c r="Z52" s="11"/>
      <c r="AA52" s="11"/>
      <c r="AB52" s="11"/>
      <c r="AC52" s="11"/>
    </row>
    <row r="53" spans="1:41" ht="15.5" x14ac:dyDescent="0.35">
      <c r="B53" s="642"/>
      <c r="C53" s="643" t="s">
        <v>277</v>
      </c>
      <c r="D53" s="901">
        <v>0</v>
      </c>
      <c r="E53" s="647"/>
      <c r="F53" s="1209"/>
      <c r="G53" s="1210" t="s">
        <v>283</v>
      </c>
      <c r="H53" s="625">
        <f>SQRT(10000/$I$49)/200</f>
        <v>0.23334523779156066</v>
      </c>
      <c r="I53" s="1213" t="s">
        <v>154</v>
      </c>
      <c r="J53" s="1216"/>
      <c r="K53" s="1154" t="s">
        <v>230</v>
      </c>
      <c r="L53" s="1272">
        <f>I49*4.356</f>
        <v>20</v>
      </c>
      <c r="M53" s="1152" t="s">
        <v>328</v>
      </c>
      <c r="N53" s="1273"/>
      <c r="R53" s="26"/>
      <c r="S53" s="11"/>
      <c r="T53" s="11"/>
      <c r="U53" s="11"/>
      <c r="V53" s="11"/>
      <c r="W53" s="11"/>
      <c r="X53" s="11"/>
      <c r="Y53" s="11"/>
      <c r="Z53" s="11"/>
      <c r="AA53" s="11"/>
      <c r="AB53" s="11"/>
      <c r="AC53" s="11"/>
    </row>
    <row r="54" spans="1:41" ht="13.5" thickBot="1" x14ac:dyDescent="0.35">
      <c r="B54" s="644"/>
      <c r="C54" s="645" t="s">
        <v>278</v>
      </c>
      <c r="D54" s="646"/>
      <c r="E54" s="648"/>
      <c r="F54" s="1211"/>
      <c r="G54" s="1212" t="s">
        <v>284</v>
      </c>
      <c r="H54" s="1156">
        <f>H53-(1/200)</f>
        <v>0.22834523779156066</v>
      </c>
      <c r="I54" s="1217" t="s">
        <v>154</v>
      </c>
      <c r="J54" s="1218"/>
      <c r="K54" s="1155" t="s">
        <v>259</v>
      </c>
      <c r="L54" s="1274"/>
      <c r="M54" s="1275"/>
      <c r="N54" s="1276"/>
      <c r="R54" s="26"/>
      <c r="S54" s="11"/>
      <c r="T54" s="11"/>
      <c r="U54" s="11"/>
      <c r="V54" s="11"/>
      <c r="W54" s="11"/>
      <c r="X54" s="11"/>
      <c r="Y54" s="11"/>
      <c r="Z54" s="11"/>
      <c r="AA54" s="11"/>
      <c r="AB54" s="11"/>
      <c r="AC54" s="11"/>
    </row>
    <row r="55" spans="1:41" ht="15" thickTop="1" thickBot="1" x14ac:dyDescent="0.35">
      <c r="B55" s="902" t="s">
        <v>123</v>
      </c>
      <c r="C55" s="1200">
        <f>ROUND(H53,2)</f>
        <v>0.23</v>
      </c>
      <c r="D55" s="605" t="s">
        <v>125</v>
      </c>
      <c r="E55" s="605" t="s">
        <v>124</v>
      </c>
      <c r="F55" s="1174"/>
      <c r="G55" s="1175" t="s">
        <v>249</v>
      </c>
      <c r="H55" s="1201">
        <v>60.96</v>
      </c>
      <c r="I55" s="1182" t="s">
        <v>74</v>
      </c>
      <c r="J55" s="1178"/>
      <c r="R55" s="26"/>
      <c r="S55" s="11"/>
      <c r="T55" s="11"/>
      <c r="U55" s="11"/>
      <c r="V55" s="11"/>
      <c r="W55" s="11"/>
      <c r="X55" s="11"/>
      <c r="Y55" s="11"/>
      <c r="Z55" s="11"/>
      <c r="AA55" s="11"/>
      <c r="AB55" s="11"/>
      <c r="AC55" s="11"/>
    </row>
    <row r="56" spans="1:41" ht="13.5" thickBot="1" x14ac:dyDescent="0.35">
      <c r="B56" s="615" t="s">
        <v>265</v>
      </c>
      <c r="C56" s="469" t="s">
        <v>271</v>
      </c>
      <c r="D56" s="1262">
        <f>IF(C55="","",(10000/ (C55*2*100)^2 ) )</f>
        <v>4.7258979206049148</v>
      </c>
      <c r="E56" s="1271">
        <f>IF(C55="","",(10000/((C55+1/200)*2*100)^2) )</f>
        <v>4.5269352648257133</v>
      </c>
      <c r="F56" s="1269" t="s">
        <v>112</v>
      </c>
      <c r="G56" s="473">
        <f>IF(H53="","",H55*H53)</f>
        <v>14.224725695773538</v>
      </c>
      <c r="H56" s="1176" t="s">
        <v>279</v>
      </c>
      <c r="I56" s="1177"/>
      <c r="J56" s="1178"/>
      <c r="R56" s="26"/>
      <c r="S56" s="11"/>
      <c r="T56" s="11"/>
      <c r="U56" s="11"/>
      <c r="V56" s="11"/>
      <c r="W56" s="11"/>
      <c r="X56" s="11"/>
      <c r="Y56" s="11"/>
      <c r="Z56" s="11"/>
      <c r="AA56" s="11"/>
      <c r="AB56" s="11"/>
      <c r="AC56" s="11"/>
    </row>
    <row r="57" spans="1:41" ht="13.5" thickBot="1" x14ac:dyDescent="0.35">
      <c r="C57" s="37" t="s">
        <v>3</v>
      </c>
      <c r="D57" s="1265">
        <f>D56/I49</f>
        <v>1.0293005671077504</v>
      </c>
      <c r="E57" s="1264">
        <f>I49/E56</f>
        <v>1.0142332415059687</v>
      </c>
      <c r="F57" s="1270" t="s">
        <v>112</v>
      </c>
      <c r="G57" s="591">
        <f>IF(H55="","",G56-(H55/2/100) )</f>
        <v>13.919925695773538</v>
      </c>
      <c r="H57" s="1179" t="s">
        <v>280</v>
      </c>
      <c r="I57" s="1180"/>
      <c r="J57" s="1181"/>
      <c r="R57" s="26"/>
      <c r="S57" s="11"/>
      <c r="T57" s="11"/>
      <c r="U57" s="11"/>
      <c r="V57" s="11"/>
      <c r="W57" s="11"/>
      <c r="X57" s="11"/>
      <c r="Y57" s="11"/>
      <c r="Z57" s="11"/>
      <c r="AA57" s="11"/>
      <c r="AB57" s="11"/>
      <c r="AC57" s="11"/>
    </row>
    <row r="58" spans="1:41" ht="13" x14ac:dyDescent="0.3">
      <c r="L58" s="534"/>
      <c r="R58" s="26"/>
      <c r="S58" s="11"/>
      <c r="T58" s="11"/>
      <c r="U58" s="11"/>
      <c r="V58" s="11"/>
      <c r="W58" s="11"/>
      <c r="X58" s="11"/>
      <c r="Y58" s="11"/>
      <c r="Z58" s="11"/>
      <c r="AA58" s="11"/>
      <c r="AB58" s="11"/>
      <c r="AC58" s="11"/>
    </row>
    <row r="59" spans="1:41" ht="13.5" thickBot="1" x14ac:dyDescent="0.35">
      <c r="L59" s="919" t="s">
        <v>3</v>
      </c>
      <c r="R59" s="457" t="s">
        <v>3</v>
      </c>
      <c r="S59" s="167" t="str">
        <f t="shared" ref="S59:T81" si="29">K2</f>
        <v>* modify by start by =====&gt;</v>
      </c>
      <c r="T59" s="167"/>
      <c r="U59" s="166">
        <f t="shared" ref="U59:X81" si="30">M2</f>
        <v>0</v>
      </c>
      <c r="V59" s="457" t="str">
        <f t="shared" si="30"/>
        <v>Total</v>
      </c>
      <c r="W59" s="457"/>
      <c r="X59" s="457"/>
      <c r="AE59" s="369"/>
      <c r="AF59" s="369"/>
      <c r="AG59" s="10"/>
      <c r="AH59" s="10"/>
      <c r="AI59" s="10"/>
      <c r="AJ59" s="10"/>
      <c r="AK59" s="10"/>
      <c r="AL59" s="10"/>
      <c r="AM59" s="10"/>
      <c r="AN59" s="10"/>
      <c r="AO59" s="10"/>
    </row>
    <row r="60" spans="1:41" ht="13.5" thickBot="1" x14ac:dyDescent="0.35">
      <c r="A60" s="468" t="s">
        <v>246</v>
      </c>
      <c r="B60" s="612"/>
      <c r="C60" s="128"/>
      <c r="D60" s="128"/>
      <c r="E60" s="674" t="s">
        <v>224</v>
      </c>
      <c r="F60" s="128"/>
      <c r="G60" s="675" t="s">
        <v>111</v>
      </c>
      <c r="H60" s="128"/>
      <c r="I60" s="128"/>
      <c r="J60" s="130"/>
      <c r="K60" s="629" t="s">
        <v>3</v>
      </c>
      <c r="L60" s="562" t="s">
        <v>3</v>
      </c>
      <c r="R60" s="458" t="str">
        <f t="shared" ref="R60:R81" si="31">J3</f>
        <v>n(TC)</v>
      </c>
      <c r="S60" s="459" t="str">
        <f t="shared" si="29"/>
        <v>SE%(TC)</v>
      </c>
      <c r="T60" s="458" t="str">
        <f t="shared" si="29"/>
        <v>n(VBAR)</v>
      </c>
      <c r="U60" s="460" t="str">
        <f t="shared" si="30"/>
        <v>SE%(VBAR)</v>
      </c>
      <c r="V60" s="458" t="str">
        <f t="shared" si="30"/>
        <v>Cost</v>
      </c>
      <c r="W60" s="458"/>
      <c r="X60" s="458" t="s">
        <v>34</v>
      </c>
      <c r="AE60" s="369"/>
      <c r="AF60" s="369"/>
      <c r="AG60" s="10"/>
      <c r="AH60" s="10"/>
      <c r="AI60" s="10"/>
      <c r="AJ60" s="10"/>
      <c r="AK60" s="10"/>
      <c r="AL60" s="10"/>
      <c r="AM60" s="10"/>
      <c r="AN60" s="10"/>
      <c r="AO60" s="10"/>
    </row>
    <row r="61" spans="1:41" ht="13.5" thickBot="1" x14ac:dyDescent="0.35">
      <c r="B61" s="676" t="s">
        <v>110</v>
      </c>
      <c r="C61" s="76"/>
      <c r="D61" s="76"/>
      <c r="E61" s="76"/>
      <c r="F61" s="76"/>
      <c r="G61" s="76"/>
      <c r="H61" s="76"/>
      <c r="I61" s="677" t="s">
        <v>3</v>
      </c>
      <c r="J61" s="77"/>
      <c r="L61" s="528"/>
      <c r="R61" s="167">
        <f t="shared" si="31"/>
        <v>35.879629629629626</v>
      </c>
      <c r="S61" s="455">
        <f t="shared" si="29"/>
        <v>5.8431100865781203E-2</v>
      </c>
      <c r="T61" s="167">
        <f t="shared" si="29"/>
        <v>215.27777777777777</v>
      </c>
      <c r="U61" s="466">
        <f t="shared" si="30"/>
        <v>1.3631084021929548E-2</v>
      </c>
      <c r="V61" s="167">
        <f t="shared" si="30"/>
        <v>645.83333333333326</v>
      </c>
      <c r="W61" s="167">
        <f t="shared" si="30"/>
        <v>12</v>
      </c>
      <c r="X61" s="167">
        <f t="shared" si="30"/>
        <v>3</v>
      </c>
      <c r="AE61" s="369"/>
      <c r="AF61" s="369"/>
      <c r="AG61" s="10"/>
      <c r="AH61" s="10"/>
      <c r="AI61" s="10"/>
      <c r="AJ61" s="10"/>
      <c r="AK61" s="10"/>
      <c r="AL61" s="10"/>
      <c r="AM61" s="10"/>
      <c r="AN61" s="10"/>
      <c r="AO61" s="10"/>
    </row>
    <row r="62" spans="1:41" ht="15.5" x14ac:dyDescent="0.35">
      <c r="B62" s="1185" t="s">
        <v>228</v>
      </c>
      <c r="C62" s="1183">
        <f>+I37</f>
        <v>20</v>
      </c>
      <c r="D62" s="1197" t="s">
        <v>76</v>
      </c>
      <c r="E62" s="1198">
        <f>+H43</f>
        <v>24</v>
      </c>
      <c r="F62" s="1222" t="s">
        <v>108</v>
      </c>
      <c r="G62" s="1223" t="s">
        <v>3</v>
      </c>
      <c r="H62" s="695">
        <f>43560*H63</f>
        <v>6842.3830199999993</v>
      </c>
      <c r="I62" s="1226" t="s">
        <v>253</v>
      </c>
      <c r="J62" s="1227"/>
      <c r="R62" s="167">
        <f t="shared" si="31"/>
        <v>40</v>
      </c>
      <c r="S62" s="455">
        <f t="shared" si="29"/>
        <v>5.5339859052946631E-2</v>
      </c>
      <c r="T62" s="167">
        <f t="shared" si="29"/>
        <v>80</v>
      </c>
      <c r="U62" s="466">
        <f t="shared" si="30"/>
        <v>2.3184046238739275E-2</v>
      </c>
      <c r="V62" s="167">
        <f t="shared" si="30"/>
        <v>400</v>
      </c>
      <c r="W62" s="167">
        <f t="shared" si="30"/>
        <v>15</v>
      </c>
      <c r="X62" s="167">
        <f t="shared" si="30"/>
        <v>3</v>
      </c>
      <c r="AE62" s="369"/>
      <c r="AF62" s="369"/>
      <c r="AG62" s="10"/>
      <c r="AH62" s="10"/>
      <c r="AI62" s="10"/>
      <c r="AJ62" s="10"/>
      <c r="AK62" s="10"/>
      <c r="AL62" s="10"/>
      <c r="AM62" s="10"/>
      <c r="AN62" s="10"/>
      <c r="AO62" s="10"/>
    </row>
    <row r="63" spans="1:41" ht="13.5" thickBot="1" x14ac:dyDescent="0.35">
      <c r="B63" s="1186" t="s">
        <v>3</v>
      </c>
      <c r="C63" s="1187" t="s">
        <v>3</v>
      </c>
      <c r="D63" s="1221" t="s">
        <v>197</v>
      </c>
      <c r="E63" s="678">
        <f>IF(E62="","",C62/( (E62/2/12)^2*3.14159))</f>
        <v>6.3662031009775308</v>
      </c>
      <c r="F63" s="1224" t="s">
        <v>3</v>
      </c>
      <c r="G63" s="1225" t="s">
        <v>94</v>
      </c>
      <c r="H63" s="673">
        <f>IF(E62&gt;0,(((H65)^2)*3.14159/43560),"")</f>
        <v>0.15707949999999998</v>
      </c>
      <c r="I63" s="1226" t="s">
        <v>262</v>
      </c>
      <c r="J63" s="1227"/>
      <c r="K63" s="461" t="s">
        <v>150</v>
      </c>
      <c r="L63" s="527"/>
      <c r="M63" s="447"/>
      <c r="N63" s="532"/>
      <c r="R63" s="167">
        <f t="shared" si="31"/>
        <v>18</v>
      </c>
      <c r="S63" s="455">
        <f t="shared" si="29"/>
        <v>8.2495791138430544E-2</v>
      </c>
      <c r="T63" s="167" t="str">
        <f t="shared" si="29"/>
        <v/>
      </c>
      <c r="U63" s="466" t="str">
        <f t="shared" si="30"/>
        <v/>
      </c>
      <c r="V63" s="167" t="str">
        <f t="shared" si="30"/>
        <v/>
      </c>
      <c r="W63" s="167">
        <f t="shared" si="30"/>
        <v>18</v>
      </c>
      <c r="X63" s="167">
        <f t="shared" si="30"/>
        <v>3</v>
      </c>
      <c r="AE63" s="369"/>
      <c r="AF63" s="369"/>
      <c r="AG63" s="10"/>
      <c r="AH63" s="10"/>
      <c r="AI63" s="10"/>
      <c r="AJ63" s="10"/>
      <c r="AK63" s="10"/>
      <c r="AL63" s="10"/>
      <c r="AM63" s="10"/>
      <c r="AN63" s="10"/>
      <c r="AO63" s="10"/>
    </row>
    <row r="64" spans="1:41" ht="14" thickTop="1" thickBot="1" x14ac:dyDescent="0.35">
      <c r="B64" s="1185"/>
      <c r="C64" s="470"/>
      <c r="D64" s="470"/>
      <c r="E64" s="1190" t="s">
        <v>116</v>
      </c>
      <c r="F64" s="1191" t="s">
        <v>170</v>
      </c>
      <c r="G64" s="1192"/>
      <c r="H64" s="1230" t="s">
        <v>3</v>
      </c>
      <c r="I64" s="1220"/>
      <c r="J64" s="1227"/>
      <c r="K64" s="585" t="s">
        <v>229</v>
      </c>
      <c r="L64" s="671"/>
      <c r="M64" s="580"/>
      <c r="N64" s="581"/>
      <c r="R64" s="167">
        <f t="shared" si="31"/>
        <v>21</v>
      </c>
      <c r="S64" s="455">
        <f t="shared" si="29"/>
        <v>7.6376261582597332E-2</v>
      </c>
      <c r="T64" s="167" t="str">
        <f t="shared" si="29"/>
        <v/>
      </c>
      <c r="U64" s="466" t="str">
        <f t="shared" si="30"/>
        <v/>
      </c>
      <c r="V64" s="167" t="str">
        <f t="shared" si="30"/>
        <v/>
      </c>
      <c r="W64" s="167">
        <f t="shared" si="30"/>
        <v>21</v>
      </c>
      <c r="X64" s="167">
        <f t="shared" si="30"/>
        <v>3</v>
      </c>
      <c r="AE64" s="369"/>
      <c r="AF64" s="369"/>
      <c r="AG64" s="10"/>
      <c r="AH64" s="10"/>
      <c r="AI64" s="10"/>
      <c r="AJ64" s="10"/>
      <c r="AK64" s="10"/>
      <c r="AL64" s="10"/>
      <c r="AM64" s="10"/>
      <c r="AN64" s="10"/>
      <c r="AO64" s="10"/>
    </row>
    <row r="65" spans="1:41" ht="13.5" thickBot="1" x14ac:dyDescent="0.35">
      <c r="B65" s="1188"/>
      <c r="C65" s="1187" t="s">
        <v>144</v>
      </c>
      <c r="D65" s="370">
        <f>(43560/C62)</f>
        <v>2178</v>
      </c>
      <c r="E65" s="1187" t="s">
        <v>169</v>
      </c>
      <c r="F65" s="97">
        <f>SQRT(43560/(C62))/2/12</f>
        <v>1.9445436482630056</v>
      </c>
      <c r="G65" s="1193" t="s">
        <v>287</v>
      </c>
      <c r="H65" s="679">
        <f>IF(E62&gt;0,F65*E62,"")</f>
        <v>46.669047558312137</v>
      </c>
      <c r="I65" s="1220" t="s">
        <v>183</v>
      </c>
      <c r="J65" s="1227"/>
      <c r="R65" s="167">
        <f t="shared" si="31"/>
        <v>24</v>
      </c>
      <c r="S65" s="455">
        <f t="shared" si="29"/>
        <v>7.1443450831176036E-2</v>
      </c>
      <c r="T65" s="167" t="str">
        <f t="shared" si="29"/>
        <v/>
      </c>
      <c r="U65" s="466" t="str">
        <f t="shared" si="30"/>
        <v/>
      </c>
      <c r="V65" s="167" t="str">
        <f t="shared" si="30"/>
        <v/>
      </c>
      <c r="W65" s="167">
        <f t="shared" si="30"/>
        <v>24</v>
      </c>
      <c r="X65" s="167">
        <f t="shared" si="30"/>
        <v>3</v>
      </c>
      <c r="AE65" s="369"/>
      <c r="AF65" s="369"/>
      <c r="AG65" s="10"/>
      <c r="AH65" s="10"/>
      <c r="AI65" s="10"/>
      <c r="AJ65" s="10"/>
      <c r="AK65" s="10"/>
      <c r="AL65" s="10"/>
      <c r="AM65" s="10"/>
      <c r="AN65" s="10"/>
      <c r="AO65" s="10"/>
    </row>
    <row r="66" spans="1:41" ht="13.5" thickBot="1" x14ac:dyDescent="0.35">
      <c r="B66" s="1189" t="s">
        <v>200</v>
      </c>
      <c r="C66" s="463">
        <f>2*DEGREES(ASIN(SQRT(1/D65)))</f>
        <v>2.4555960685207117</v>
      </c>
      <c r="D66" s="1196" t="s">
        <v>199</v>
      </c>
      <c r="E66" s="1195" t="s">
        <v>168</v>
      </c>
      <c r="F66" s="680">
        <f>F65-(1/24)</f>
        <v>1.9028769815963389</v>
      </c>
      <c r="G66" s="1194" t="s">
        <v>287</v>
      </c>
      <c r="H66" s="1184">
        <f>IF(E62&gt;0,F66*E62,"")</f>
        <v>45.66904755831213</v>
      </c>
      <c r="I66" s="1228" t="s">
        <v>184</v>
      </c>
      <c r="J66" s="1229"/>
      <c r="K66" s="369" t="s">
        <v>3</v>
      </c>
      <c r="R66" s="167">
        <f t="shared" si="31"/>
        <v>27</v>
      </c>
      <c r="S66" s="455">
        <f t="shared" si="29"/>
        <v>6.7357531405456333E-2</v>
      </c>
      <c r="T66" s="167" t="str">
        <f t="shared" si="29"/>
        <v/>
      </c>
      <c r="U66" s="466" t="str">
        <f t="shared" si="30"/>
        <v/>
      </c>
      <c r="V66" s="167" t="str">
        <f t="shared" si="30"/>
        <v/>
      </c>
      <c r="W66" s="167">
        <f t="shared" si="30"/>
        <v>27</v>
      </c>
      <c r="X66" s="167">
        <f t="shared" si="30"/>
        <v>3</v>
      </c>
      <c r="AE66" s="369"/>
      <c r="AF66" s="369"/>
      <c r="AG66" s="10"/>
      <c r="AH66" s="10"/>
      <c r="AI66" s="10"/>
      <c r="AJ66" s="10"/>
      <c r="AK66" s="10"/>
      <c r="AL66" s="10"/>
      <c r="AM66" s="10"/>
      <c r="AN66" s="10"/>
      <c r="AO66" s="10"/>
    </row>
    <row r="67" spans="1:41" ht="13" thickBot="1" x14ac:dyDescent="0.3">
      <c r="P67" s="11"/>
      <c r="R67" s="167">
        <f t="shared" si="31"/>
        <v>30</v>
      </c>
      <c r="S67" s="167">
        <f t="shared" si="29"/>
        <v>6.3900965042269373E-2</v>
      </c>
      <c r="T67" s="167" t="str">
        <f t="shared" si="29"/>
        <v/>
      </c>
      <c r="U67" s="466" t="str">
        <f t="shared" si="30"/>
        <v/>
      </c>
      <c r="V67" s="167" t="str">
        <f t="shared" si="30"/>
        <v/>
      </c>
      <c r="W67" s="167">
        <f t="shared" si="30"/>
        <v>30</v>
      </c>
      <c r="X67" s="167">
        <f t="shared" si="30"/>
        <v>3</v>
      </c>
      <c r="AE67" s="369"/>
      <c r="AF67" s="369"/>
      <c r="AG67" s="10"/>
      <c r="AH67" s="10"/>
      <c r="AI67" s="10"/>
      <c r="AJ67" s="10"/>
      <c r="AK67" s="10"/>
      <c r="AL67" s="10"/>
      <c r="AM67" s="10"/>
      <c r="AN67" s="10"/>
      <c r="AO67" s="10"/>
    </row>
    <row r="68" spans="1:41" ht="13.5" thickBot="1" x14ac:dyDescent="0.35">
      <c r="A68" s="468" t="s">
        <v>247</v>
      </c>
      <c r="B68" s="539"/>
      <c r="C68" s="540"/>
      <c r="D68" s="540"/>
      <c r="E68" s="541" t="s">
        <v>225</v>
      </c>
      <c r="F68" s="540"/>
      <c r="G68" s="546" t="s">
        <v>254</v>
      </c>
      <c r="H68" s="540"/>
      <c r="I68" s="540"/>
      <c r="J68" s="542"/>
      <c r="R68" s="167">
        <f t="shared" si="31"/>
        <v>33</v>
      </c>
      <c r="S68" s="167">
        <f t="shared" si="29"/>
        <v>6.0927179584494243E-2</v>
      </c>
      <c r="T68" s="167" t="str">
        <f t="shared" si="29"/>
        <v/>
      </c>
      <c r="U68" s="466" t="str">
        <f t="shared" si="30"/>
        <v/>
      </c>
      <c r="V68" s="167" t="str">
        <f t="shared" si="30"/>
        <v/>
      </c>
      <c r="W68" s="167">
        <f t="shared" si="30"/>
        <v>33</v>
      </c>
      <c r="X68" s="167">
        <f t="shared" si="30"/>
        <v>3</v>
      </c>
      <c r="AE68" s="369"/>
      <c r="AF68" s="369"/>
      <c r="AG68" s="10"/>
      <c r="AH68" s="10"/>
      <c r="AI68" s="10"/>
      <c r="AJ68" s="10"/>
      <c r="AK68" s="10"/>
      <c r="AL68" s="10"/>
      <c r="AM68" s="10"/>
      <c r="AN68" s="10"/>
      <c r="AO68" s="10"/>
    </row>
    <row r="69" spans="1:41" ht="15.5" x14ac:dyDescent="0.35">
      <c r="B69" s="684" t="s">
        <v>227</v>
      </c>
      <c r="C69" s="900">
        <f>C62/4.356</f>
        <v>4.5913682277318646</v>
      </c>
      <c r="D69" s="1231" t="s">
        <v>76</v>
      </c>
      <c r="E69" s="1198">
        <f>H55</f>
        <v>60.96</v>
      </c>
      <c r="F69" s="1233" t="s">
        <v>109</v>
      </c>
      <c r="G69" s="1234" t="s">
        <v>3</v>
      </c>
      <c r="H69" s="685">
        <f>IF(E69&gt;0,(((H72)^2)*3.14159),"")</f>
        <v>635.67818340238068</v>
      </c>
      <c r="I69" s="1236" t="s">
        <v>252</v>
      </c>
      <c r="J69" s="1237"/>
      <c r="R69" s="167">
        <f t="shared" si="31"/>
        <v>36</v>
      </c>
      <c r="S69" s="167">
        <f t="shared" si="29"/>
        <v>5.8333333333333327E-2</v>
      </c>
      <c r="T69" s="167">
        <f t="shared" si="29"/>
        <v>202.81690140845015</v>
      </c>
      <c r="U69" s="466">
        <f t="shared" si="30"/>
        <v>1.404358295529395E-2</v>
      </c>
      <c r="V69" s="167">
        <f t="shared" si="30"/>
        <v>621.63380281690024</v>
      </c>
      <c r="W69" s="167">
        <f t="shared" si="30"/>
        <v>36</v>
      </c>
      <c r="X69" s="167">
        <f t="shared" si="30"/>
        <v>3</v>
      </c>
      <c r="AE69" s="369"/>
      <c r="AF69" s="369"/>
      <c r="AG69" s="10"/>
      <c r="AH69" s="10"/>
      <c r="AI69" s="10"/>
      <c r="AJ69" s="10"/>
      <c r="AK69" s="10"/>
      <c r="AL69" s="10"/>
      <c r="AM69" s="10"/>
      <c r="AN69" s="10"/>
      <c r="AO69" s="10"/>
    </row>
    <row r="70" spans="1:41" ht="13.5" thickBot="1" x14ac:dyDescent="0.35">
      <c r="B70" s="686"/>
      <c r="C70" s="681"/>
      <c r="D70" s="1232" t="s">
        <v>198</v>
      </c>
      <c r="E70" s="689">
        <f>IF(E69="","",C69/( (E69/100/2)^2*3.14159) )</f>
        <v>15.731230457645037</v>
      </c>
      <c r="F70" s="1235" t="s">
        <v>3</v>
      </c>
      <c r="G70" s="1235" t="s">
        <v>94</v>
      </c>
      <c r="H70" s="673">
        <f>IF(E69&gt;0,(H69/10000),"")</f>
        <v>6.3567818340238072E-2</v>
      </c>
      <c r="I70" s="1238" t="s">
        <v>261</v>
      </c>
      <c r="J70" s="1239"/>
      <c r="K70" s="461" t="s">
        <v>150</v>
      </c>
      <c r="L70" s="527"/>
      <c r="M70" s="447"/>
      <c r="N70" s="532"/>
      <c r="R70" s="167">
        <f t="shared" si="31"/>
        <v>39</v>
      </c>
      <c r="S70" s="167">
        <f t="shared" si="29"/>
        <v>5.604485383178049E-2</v>
      </c>
      <c r="T70" s="167">
        <f t="shared" si="29"/>
        <v>87.150837988826666</v>
      </c>
      <c r="U70" s="466">
        <f t="shared" si="30"/>
        <v>2.1423686866978799E-2</v>
      </c>
      <c r="V70" s="167">
        <f t="shared" si="30"/>
        <v>408.3016759776533</v>
      </c>
      <c r="W70" s="167">
        <f t="shared" si="30"/>
        <v>39</v>
      </c>
      <c r="X70" s="167">
        <f t="shared" si="30"/>
        <v>3</v>
      </c>
      <c r="AE70" s="369"/>
      <c r="AF70" s="369"/>
      <c r="AG70" s="10"/>
      <c r="AH70" s="10"/>
      <c r="AI70" s="10"/>
      <c r="AJ70" s="10"/>
      <c r="AK70" s="10"/>
      <c r="AL70" s="10"/>
      <c r="AM70" s="10"/>
      <c r="AN70" s="10"/>
      <c r="AO70" s="10"/>
    </row>
    <row r="71" spans="1:41" ht="14" thickTop="1" thickBot="1" x14ac:dyDescent="0.35">
      <c r="B71" s="89"/>
      <c r="C71" s="87"/>
      <c r="D71" s="87"/>
      <c r="E71" s="688" t="s">
        <v>116</v>
      </c>
      <c r="F71" s="682" t="s">
        <v>77</v>
      </c>
      <c r="G71" s="87" t="s">
        <v>3</v>
      </c>
      <c r="H71" s="1243"/>
      <c r="I71" s="1238"/>
      <c r="J71" s="1239"/>
      <c r="K71" s="579" t="s">
        <v>233</v>
      </c>
      <c r="L71" s="672"/>
      <c r="M71" s="580"/>
      <c r="N71" s="581"/>
      <c r="R71" s="167">
        <f t="shared" si="31"/>
        <v>42</v>
      </c>
      <c r="S71" s="167">
        <f t="shared" si="29"/>
        <v>5.4006172486732167E-2</v>
      </c>
      <c r="T71" s="167">
        <f t="shared" si="29"/>
        <v>58.536585365853661</v>
      </c>
      <c r="U71" s="466">
        <f t="shared" si="30"/>
        <v>2.6140645235596872E-2</v>
      </c>
      <c r="V71" s="167">
        <f t="shared" si="30"/>
        <v>369.07317073170731</v>
      </c>
      <c r="W71" s="167">
        <f t="shared" si="30"/>
        <v>42</v>
      </c>
      <c r="X71" s="167">
        <f t="shared" si="30"/>
        <v>3</v>
      </c>
      <c r="AE71" s="369"/>
      <c r="AF71" s="369"/>
      <c r="AG71" s="10"/>
      <c r="AH71" s="10"/>
      <c r="AI71" s="10"/>
      <c r="AJ71" s="10"/>
      <c r="AK71" s="10"/>
      <c r="AL71" s="10"/>
      <c r="AM71" s="10"/>
      <c r="AN71" s="10"/>
      <c r="AO71" s="10"/>
    </row>
    <row r="72" spans="1:41" ht="13.5" thickBot="1" x14ac:dyDescent="0.35">
      <c r="B72" s="86"/>
      <c r="C72" s="88" t="s">
        <v>226</v>
      </c>
      <c r="D72" s="99">
        <f>(10000/C69)</f>
        <v>2177.9999999999995</v>
      </c>
      <c r="E72" s="692" t="s">
        <v>289</v>
      </c>
      <c r="F72" s="97">
        <f>SQRT(10000/(C69))/2/100</f>
        <v>0.23334523779156066</v>
      </c>
      <c r="G72" s="683" t="s">
        <v>288</v>
      </c>
      <c r="H72" s="690">
        <f>IF(E69&gt;0,(F72*E$69),"")</f>
        <v>14.224725695773538</v>
      </c>
      <c r="I72" s="1240" t="s">
        <v>172</v>
      </c>
      <c r="J72" s="1239"/>
      <c r="R72" s="167">
        <f t="shared" si="31"/>
        <v>45</v>
      </c>
      <c r="S72" s="167">
        <f t="shared" si="29"/>
        <v>5.2174919474995085E-2</v>
      </c>
      <c r="T72" s="167">
        <f t="shared" si="29"/>
        <v>45.569620253164516</v>
      </c>
      <c r="U72" s="466">
        <f t="shared" si="30"/>
        <v>2.962731472438531E-2</v>
      </c>
      <c r="V72" s="167">
        <f t="shared" si="30"/>
        <v>361.13924050632903</v>
      </c>
      <c r="W72" s="167">
        <f t="shared" si="30"/>
        <v>45</v>
      </c>
      <c r="X72" s="167">
        <f t="shared" si="30"/>
        <v>3</v>
      </c>
      <c r="AE72" s="369"/>
      <c r="AF72" s="369"/>
      <c r="AG72" s="10"/>
      <c r="AH72" s="10"/>
      <c r="AI72" s="10"/>
      <c r="AJ72" s="10"/>
      <c r="AK72" s="10"/>
      <c r="AL72" s="10"/>
      <c r="AM72" s="10"/>
      <c r="AN72" s="10"/>
      <c r="AO72" s="10"/>
    </row>
    <row r="73" spans="1:41" ht="13.5" thickBot="1" x14ac:dyDescent="0.35">
      <c r="B73" s="323" t="s">
        <v>200</v>
      </c>
      <c r="C73" s="463">
        <f>2*DEGREES(ASIN(1/SQRT(D72)))</f>
        <v>2.4555960685207121</v>
      </c>
      <c r="D73" s="70" t="s">
        <v>199</v>
      </c>
      <c r="E73" s="693" t="s">
        <v>290</v>
      </c>
      <c r="F73" s="694">
        <f>F72-(1/200)</f>
        <v>0.22834523779156066</v>
      </c>
      <c r="G73" s="687" t="s">
        <v>288</v>
      </c>
      <c r="H73" s="691">
        <f>IF(E69&gt;0,F73*E69,"")</f>
        <v>13.919925695773538</v>
      </c>
      <c r="I73" s="1241" t="s">
        <v>173</v>
      </c>
      <c r="J73" s="1242"/>
      <c r="K73" s="369" t="s">
        <v>3</v>
      </c>
      <c r="R73" s="167">
        <f t="shared" si="31"/>
        <v>48</v>
      </c>
      <c r="S73" s="167">
        <f t="shared" si="29"/>
        <v>5.0518148554092257E-2</v>
      </c>
      <c r="T73" s="167">
        <f t="shared" si="29"/>
        <v>38.170974155069594</v>
      </c>
      <c r="U73" s="466">
        <f t="shared" si="30"/>
        <v>3.2371540999258382E-2</v>
      </c>
      <c r="V73" s="167">
        <f t="shared" si="30"/>
        <v>364.34194831013917</v>
      </c>
      <c r="W73" s="167">
        <f t="shared" si="30"/>
        <v>48</v>
      </c>
      <c r="X73" s="167">
        <f t="shared" si="30"/>
        <v>3</v>
      </c>
      <c r="AE73" s="369"/>
      <c r="AF73" s="369"/>
      <c r="AG73" s="10"/>
      <c r="AH73" s="10"/>
      <c r="AI73" s="10"/>
      <c r="AJ73" s="10"/>
      <c r="AK73" s="10"/>
      <c r="AL73" s="10"/>
      <c r="AM73" s="10"/>
      <c r="AN73" s="10"/>
      <c r="AO73" s="10"/>
    </row>
    <row r="74" spans="1:41" x14ac:dyDescent="0.25">
      <c r="R74" s="167">
        <f t="shared" si="31"/>
        <v>51</v>
      </c>
      <c r="S74" s="167">
        <f t="shared" si="29"/>
        <v>4.900980294098034E-2</v>
      </c>
      <c r="T74" s="167">
        <f t="shared" si="29"/>
        <v>33.387888707037646</v>
      </c>
      <c r="U74" s="466">
        <f t="shared" si="30"/>
        <v>3.4612703097075134E-2</v>
      </c>
      <c r="V74" s="167">
        <f t="shared" si="30"/>
        <v>372.77577741407526</v>
      </c>
      <c r="W74" s="167">
        <f t="shared" si="30"/>
        <v>51</v>
      </c>
      <c r="X74" s="167">
        <f t="shared" si="30"/>
        <v>3</v>
      </c>
      <c r="AE74" s="369"/>
      <c r="AF74" s="369"/>
      <c r="AG74" s="10"/>
      <c r="AH74" s="10"/>
      <c r="AI74" s="10"/>
      <c r="AJ74" s="10"/>
      <c r="AK74" s="10"/>
      <c r="AL74" s="10"/>
      <c r="AM74" s="10"/>
      <c r="AN74" s="10"/>
      <c r="AO74" s="10"/>
    </row>
    <row r="75" spans="1:41" ht="13" thickBot="1" x14ac:dyDescent="0.3">
      <c r="R75" s="167">
        <f t="shared" si="31"/>
        <v>54</v>
      </c>
      <c r="S75" s="167">
        <f t="shared" si="29"/>
        <v>4.7628967220784017E-2</v>
      </c>
      <c r="T75" s="167">
        <f t="shared" si="29"/>
        <v>30.041724617524338</v>
      </c>
      <c r="U75" s="466">
        <f t="shared" si="30"/>
        <v>3.6489470830384507E-2</v>
      </c>
      <c r="V75" s="167">
        <f t="shared" si="30"/>
        <v>384.08344923504865</v>
      </c>
      <c r="W75" s="167">
        <f t="shared" si="30"/>
        <v>54</v>
      </c>
      <c r="X75" s="167">
        <f t="shared" si="30"/>
        <v>3</v>
      </c>
      <c r="AE75" s="369"/>
      <c r="AF75" s="369"/>
      <c r="AG75" s="10"/>
      <c r="AH75" s="10"/>
      <c r="AI75" s="10"/>
      <c r="AJ75" s="10"/>
      <c r="AK75" s="10"/>
      <c r="AL75" s="10"/>
      <c r="AM75" s="10"/>
      <c r="AN75" s="10"/>
      <c r="AO75" s="10"/>
    </row>
    <row r="76" spans="1:41" ht="13" x14ac:dyDescent="0.3">
      <c r="A76" s="468">
        <v>7</v>
      </c>
      <c r="B76" s="356" t="s">
        <v>135</v>
      </c>
      <c r="C76" s="357"/>
      <c r="D76" s="357"/>
      <c r="E76" s="357"/>
      <c r="F76" s="357"/>
      <c r="G76" s="357"/>
      <c r="H76" s="358"/>
      <c r="I76" s="371" t="s">
        <v>3</v>
      </c>
      <c r="R76" s="167">
        <f t="shared" si="31"/>
        <v>57</v>
      </c>
      <c r="S76" s="167">
        <f t="shared" si="29"/>
        <v>4.6358632497276529E-2</v>
      </c>
      <c r="T76" s="167">
        <f t="shared" si="29"/>
        <v>27.569528415961297</v>
      </c>
      <c r="U76" s="466">
        <f t="shared" si="30"/>
        <v>3.8090381895991232E-2</v>
      </c>
      <c r="V76" s="167">
        <f t="shared" si="30"/>
        <v>397.13905683192257</v>
      </c>
      <c r="W76" s="167">
        <f t="shared" si="30"/>
        <v>57</v>
      </c>
      <c r="X76" s="167">
        <f t="shared" si="30"/>
        <v>3</v>
      </c>
      <c r="AE76" s="369"/>
      <c r="AF76" s="369"/>
      <c r="AG76" s="10"/>
      <c r="AH76" s="10"/>
      <c r="AI76" s="10"/>
      <c r="AJ76" s="10"/>
      <c r="AK76" s="10"/>
      <c r="AL76" s="10"/>
      <c r="AM76" s="10"/>
      <c r="AN76" s="10"/>
      <c r="AO76" s="10"/>
    </row>
    <row r="77" spans="1:41" x14ac:dyDescent="0.25">
      <c r="B77" s="375" t="s">
        <v>201</v>
      </c>
      <c r="C77" s="359"/>
      <c r="D77" s="359"/>
      <c r="E77" s="359"/>
      <c r="F77" s="359"/>
      <c r="G77" s="359" t="s">
        <v>78</v>
      </c>
      <c r="H77" s="360"/>
      <c r="R77" s="167">
        <f t="shared" si="31"/>
        <v>60</v>
      </c>
      <c r="S77" s="167">
        <f t="shared" si="29"/>
        <v>4.5184805705753193E-2</v>
      </c>
      <c r="T77" s="167">
        <f t="shared" si="29"/>
        <v>25.668449197860966</v>
      </c>
      <c r="U77" s="466">
        <f t="shared" si="30"/>
        <v>3.947573094109004E-2</v>
      </c>
      <c r="V77" s="167">
        <f t="shared" si="30"/>
        <v>411.33689839572196</v>
      </c>
      <c r="W77" s="167">
        <f t="shared" si="30"/>
        <v>60</v>
      </c>
      <c r="X77" s="167">
        <f t="shared" si="30"/>
        <v>3</v>
      </c>
      <c r="AE77" s="369"/>
      <c r="AF77" s="369"/>
      <c r="AG77" s="10"/>
      <c r="AH77" s="10"/>
      <c r="AI77" s="10"/>
      <c r="AJ77" s="10"/>
      <c r="AK77" s="10"/>
      <c r="AL77" s="10"/>
      <c r="AM77" s="10"/>
      <c r="AN77" s="10"/>
      <c r="AO77" s="10"/>
    </row>
    <row r="78" spans="1:41" ht="15.5" x14ac:dyDescent="0.35">
      <c r="B78" s="365" t="s">
        <v>298</v>
      </c>
      <c r="C78" s="1205">
        <f>F15</f>
        <v>5.5339859052946631E-2</v>
      </c>
      <c r="D78" s="361" t="s">
        <v>79</v>
      </c>
      <c r="E78" s="938">
        <f>C15</f>
        <v>40</v>
      </c>
      <c r="F78" s="923" t="s">
        <v>80</v>
      </c>
      <c r="G78" s="937">
        <f>(C78*SQRT(E78))</f>
        <v>0.35</v>
      </c>
      <c r="H78" s="360" t="s">
        <v>81</v>
      </c>
      <c r="R78" s="167">
        <f t="shared" si="31"/>
        <v>63</v>
      </c>
      <c r="S78" s="167">
        <f t="shared" si="29"/>
        <v>4.4095855184409838E-2</v>
      </c>
      <c r="T78" s="167">
        <f t="shared" si="29"/>
        <v>24.161073825503358</v>
      </c>
      <c r="U78" s="466">
        <f t="shared" si="30"/>
        <v>4.0688518719112346E-2</v>
      </c>
      <c r="V78" s="167">
        <f t="shared" si="30"/>
        <v>426.32214765100673</v>
      </c>
      <c r="W78" s="167">
        <f t="shared" si="30"/>
        <v>63</v>
      </c>
      <c r="X78" s="167">
        <f t="shared" si="30"/>
        <v>3</v>
      </c>
      <c r="AE78" s="369"/>
      <c r="AF78" s="369"/>
      <c r="AG78" s="10"/>
      <c r="AH78" s="10"/>
      <c r="AI78" s="10"/>
      <c r="AJ78" s="10"/>
      <c r="AK78" s="10"/>
      <c r="AL78" s="10"/>
      <c r="AM78" s="10"/>
      <c r="AN78" s="10"/>
      <c r="AO78" s="10"/>
    </row>
    <row r="79" spans="1:41" ht="15.5" x14ac:dyDescent="0.35">
      <c r="B79" s="476" t="s">
        <v>186</v>
      </c>
      <c r="C79" s="921">
        <f>SQRT(C80^2-C78^2)</f>
        <v>2.2360679774997907E-2</v>
      </c>
      <c r="D79" s="361" t="s">
        <v>128</v>
      </c>
      <c r="E79" s="939">
        <f>+C16</f>
        <v>80</v>
      </c>
      <c r="F79" s="922" t="s">
        <v>82</v>
      </c>
      <c r="G79" s="924">
        <f>SQRT((C80^2)-C78^2)*(SQRT(E79))</f>
        <v>0.20000000000000009</v>
      </c>
      <c r="H79" s="360" t="s">
        <v>81</v>
      </c>
      <c r="R79" s="167">
        <f t="shared" si="31"/>
        <v>66</v>
      </c>
      <c r="S79" s="167">
        <f t="shared" si="29"/>
        <v>4.3082021842766452E-2</v>
      </c>
      <c r="T79" s="167">
        <f t="shared" si="29"/>
        <v>22.936576889661165</v>
      </c>
      <c r="U79" s="466">
        <f t="shared" si="30"/>
        <v>4.1760500403364355E-2</v>
      </c>
      <c r="V79" s="167">
        <f t="shared" si="30"/>
        <v>441.87315377932231</v>
      </c>
      <c r="W79" s="167">
        <f t="shared" si="30"/>
        <v>66</v>
      </c>
      <c r="X79" s="167">
        <f t="shared" si="30"/>
        <v>3</v>
      </c>
      <c r="AE79" s="369"/>
      <c r="AF79" s="369"/>
      <c r="AG79" s="10"/>
      <c r="AH79" s="10"/>
      <c r="AI79" s="10"/>
      <c r="AJ79" s="10"/>
      <c r="AK79" s="10"/>
      <c r="AL79" s="10"/>
      <c r="AM79" s="10"/>
      <c r="AN79" s="10"/>
      <c r="AO79" s="10"/>
    </row>
    <row r="80" spans="1:41" ht="16" thickBot="1" x14ac:dyDescent="0.4">
      <c r="B80" s="366" t="s">
        <v>299</v>
      </c>
      <c r="C80" s="1206">
        <f>F17</f>
        <v>5.9686681931566607E-2</v>
      </c>
      <c r="D80" s="363"/>
      <c r="E80" s="363"/>
      <c r="F80" s="363"/>
      <c r="G80" s="363"/>
      <c r="H80" s="144"/>
      <c r="R80" s="167">
        <f t="shared" si="31"/>
        <v>69</v>
      </c>
      <c r="S80" s="167">
        <f t="shared" si="29"/>
        <v>4.2135048580019215E-2</v>
      </c>
      <c r="T80" s="167">
        <f t="shared" si="29"/>
        <v>21.922160444797463</v>
      </c>
      <c r="U80" s="466">
        <f t="shared" si="30"/>
        <v>4.271577789481798E-2</v>
      </c>
      <c r="V80" s="167">
        <f t="shared" si="30"/>
        <v>457.84432088959494</v>
      </c>
      <c r="W80" s="167">
        <f t="shared" si="30"/>
        <v>69</v>
      </c>
      <c r="X80" s="167">
        <f t="shared" si="30"/>
        <v>3</v>
      </c>
      <c r="AE80" s="369"/>
      <c r="AF80" s="369"/>
      <c r="AG80" s="10"/>
      <c r="AH80" s="10"/>
      <c r="AI80" s="10"/>
      <c r="AJ80" s="10"/>
      <c r="AK80" s="10"/>
      <c r="AL80" s="10"/>
      <c r="AM80" s="10"/>
      <c r="AN80" s="10"/>
      <c r="AO80" s="10"/>
    </row>
    <row r="81" spans="1:41" ht="13" thickBot="1" x14ac:dyDescent="0.3">
      <c r="R81" s="167">
        <f t="shared" si="31"/>
        <v>72</v>
      </c>
      <c r="S81" s="167">
        <f t="shared" si="29"/>
        <v>4.1247895569215272E-2</v>
      </c>
      <c r="T81" s="167">
        <f t="shared" si="29"/>
        <v>21.068032187271399</v>
      </c>
      <c r="U81" s="466">
        <f t="shared" si="30"/>
        <v>4.3573054874671238E-2</v>
      </c>
      <c r="V81" s="167">
        <f t="shared" si="30"/>
        <v>474.1360643745428</v>
      </c>
      <c r="W81" s="167">
        <f t="shared" si="30"/>
        <v>72</v>
      </c>
      <c r="X81" s="167">
        <f t="shared" si="30"/>
        <v>3</v>
      </c>
      <c r="AE81" s="369"/>
      <c r="AF81" s="369"/>
      <c r="AG81" s="10"/>
      <c r="AH81" s="10"/>
      <c r="AI81" s="10"/>
      <c r="AJ81" s="10"/>
      <c r="AK81" s="10"/>
      <c r="AL81" s="10"/>
      <c r="AM81" s="10"/>
      <c r="AN81" s="10"/>
      <c r="AO81" s="10"/>
    </row>
    <row r="82" spans="1:41" ht="13.5" thickBot="1" x14ac:dyDescent="0.35">
      <c r="A82" s="468">
        <v>8</v>
      </c>
      <c r="B82" s="512" t="s">
        <v>223</v>
      </c>
      <c r="C82" s="513"/>
      <c r="D82" s="513"/>
      <c r="E82" s="513"/>
      <c r="F82" s="513"/>
      <c r="G82" s="513"/>
      <c r="H82" s="513"/>
      <c r="I82" s="513"/>
      <c r="J82" s="514"/>
      <c r="AE82" s="369"/>
      <c r="AF82" s="369"/>
      <c r="AG82" s="10"/>
      <c r="AH82" s="10"/>
      <c r="AI82" s="10"/>
      <c r="AJ82" s="10"/>
      <c r="AK82" s="10"/>
      <c r="AL82" s="10"/>
      <c r="AM82" s="10"/>
      <c r="AN82" s="10"/>
      <c r="AO82" s="10"/>
    </row>
    <row r="83" spans="1:41" ht="13" x14ac:dyDescent="0.3">
      <c r="B83" s="341"/>
      <c r="C83" s="342" t="s">
        <v>0</v>
      </c>
      <c r="D83" s="342"/>
      <c r="E83" s="342" t="s">
        <v>1</v>
      </c>
      <c r="F83" s="342"/>
      <c r="G83" s="342"/>
      <c r="H83" s="342" t="s">
        <v>2</v>
      </c>
      <c r="I83" s="342"/>
      <c r="J83" s="353"/>
      <c r="K83" s="11"/>
      <c r="L83" s="529"/>
      <c r="M83" s="11"/>
      <c r="N83" s="529"/>
      <c r="O83" s="529"/>
      <c r="AE83" s="369"/>
      <c r="AF83" s="369"/>
      <c r="AG83" s="10"/>
      <c r="AH83" s="10"/>
      <c r="AI83" s="10"/>
      <c r="AJ83" s="10"/>
      <c r="AK83" s="10"/>
      <c r="AL83" s="10"/>
      <c r="AM83" s="10"/>
      <c r="AN83" s="10"/>
      <c r="AO83" s="10"/>
    </row>
    <row r="84" spans="1:41" ht="13" x14ac:dyDescent="0.3">
      <c r="B84" s="385" t="s">
        <v>202</v>
      </c>
      <c r="C84" s="515">
        <f>C3</f>
        <v>0.35</v>
      </c>
      <c r="D84" s="342" t="s">
        <v>3</v>
      </c>
      <c r="E84" s="344">
        <f>E3</f>
        <v>6</v>
      </c>
      <c r="F84" s="342" t="s">
        <v>4</v>
      </c>
      <c r="G84" s="342"/>
      <c r="H84" s="345">
        <f t="shared" ref="H84:I87" si="32">H3</f>
        <v>0</v>
      </c>
      <c r="I84" s="132" t="str">
        <f t="shared" si="32"/>
        <v>cost #1, perhaps travel to plot</v>
      </c>
      <c r="J84" s="353"/>
      <c r="K84" s="11"/>
      <c r="L84" s="529"/>
      <c r="M84" s="11"/>
      <c r="N84" s="529"/>
      <c r="O84" s="529"/>
      <c r="AE84" s="369"/>
      <c r="AF84" s="369"/>
      <c r="AG84" s="10"/>
      <c r="AH84" s="10"/>
      <c r="AI84" s="10"/>
      <c r="AJ84" s="10"/>
      <c r="AK84" s="10"/>
      <c r="AL84" s="10"/>
      <c r="AM84" s="10"/>
      <c r="AN84" s="10"/>
      <c r="AO84" s="10"/>
    </row>
    <row r="85" spans="1:41" ht="13" x14ac:dyDescent="0.3">
      <c r="B85" s="341"/>
      <c r="C85" s="342"/>
      <c r="D85" s="342"/>
      <c r="E85" s="342" t="s">
        <v>3</v>
      </c>
      <c r="F85" s="342"/>
      <c r="G85" s="342"/>
      <c r="H85" s="345">
        <f t="shared" si="32"/>
        <v>0</v>
      </c>
      <c r="I85" s="132" t="str">
        <f t="shared" si="32"/>
        <v>cost #2, other costs PER plot</v>
      </c>
      <c r="J85" s="353"/>
      <c r="K85" s="11"/>
      <c r="L85" s="529"/>
      <c r="M85" s="11"/>
      <c r="N85" s="529"/>
      <c r="O85" s="529"/>
      <c r="AE85" s="369"/>
      <c r="AF85" s="369"/>
      <c r="AG85" s="10"/>
      <c r="AH85" s="10"/>
      <c r="AI85" s="10"/>
      <c r="AJ85" s="10"/>
      <c r="AK85" s="10"/>
      <c r="AL85" s="10"/>
      <c r="AM85" s="10"/>
      <c r="AN85" s="10"/>
      <c r="AO85" s="10"/>
    </row>
    <row r="86" spans="1:41" ht="13.5" thickBot="1" x14ac:dyDescent="0.35">
      <c r="A86" s="5"/>
      <c r="B86" s="386" t="s">
        <v>203</v>
      </c>
      <c r="C86" s="515">
        <f>C5</f>
        <v>0.2</v>
      </c>
      <c r="D86" s="342" t="s">
        <v>3</v>
      </c>
      <c r="E86" s="344">
        <f>E5</f>
        <v>2</v>
      </c>
      <c r="F86" s="342" t="s">
        <v>5</v>
      </c>
      <c r="G86" s="342"/>
      <c r="H86" s="516">
        <f t="shared" si="32"/>
        <v>0</v>
      </c>
      <c r="I86" s="132" t="str">
        <f t="shared" si="32"/>
        <v>cost #3, additional  cost/plot</v>
      </c>
      <c r="J86" s="353"/>
      <c r="K86" s="11"/>
      <c r="L86" s="529"/>
      <c r="M86" s="11"/>
      <c r="N86" s="529"/>
      <c r="O86" s="529"/>
      <c r="AE86" s="369"/>
      <c r="AF86" s="369"/>
      <c r="AG86" s="10"/>
      <c r="AH86" s="10"/>
      <c r="AI86" s="10"/>
      <c r="AJ86" s="10"/>
      <c r="AK86" s="10"/>
      <c r="AL86" s="10"/>
      <c r="AM86" s="10"/>
      <c r="AN86" s="10"/>
      <c r="AO86" s="10"/>
    </row>
    <row r="87" spans="1:41" ht="14" thickTop="1" thickBot="1" x14ac:dyDescent="0.35">
      <c r="A87" s="5"/>
      <c r="B87" s="341" t="s">
        <v>3</v>
      </c>
      <c r="C87" s="342" t="s">
        <v>3</v>
      </c>
      <c r="D87" s="342" t="s">
        <v>3</v>
      </c>
      <c r="E87" s="342" t="s">
        <v>3</v>
      </c>
      <c r="F87" s="344" t="s">
        <v>3</v>
      </c>
      <c r="G87" s="342" t="s">
        <v>3</v>
      </c>
      <c r="H87" s="345">
        <f t="shared" si="32"/>
        <v>0</v>
      </c>
      <c r="I87" s="509" t="str">
        <f t="shared" si="32"/>
        <v>= total</v>
      </c>
      <c r="J87" s="353"/>
      <c r="K87" s="11"/>
      <c r="L87" s="529"/>
      <c r="M87" s="11"/>
      <c r="N87" s="529"/>
      <c r="O87" s="529"/>
      <c r="AE87" s="369"/>
      <c r="AF87" s="369"/>
      <c r="AG87" s="10"/>
      <c r="AH87" s="10"/>
      <c r="AI87" s="10"/>
      <c r="AJ87" s="10"/>
      <c r="AK87" s="10"/>
      <c r="AL87" s="10"/>
      <c r="AM87" s="10"/>
      <c r="AN87" s="10"/>
      <c r="AO87" s="10"/>
    </row>
    <row r="88" spans="1:41" ht="13.5" thickBot="1" x14ac:dyDescent="0.35">
      <c r="A88" s="5"/>
      <c r="B88" s="341"/>
      <c r="C88" s="342"/>
      <c r="D88" s="346" t="s">
        <v>179</v>
      </c>
      <c r="E88" s="502">
        <f>C15/C16</f>
        <v>0.5</v>
      </c>
      <c r="F88" s="342" t="s">
        <v>113</v>
      </c>
      <c r="G88" s="342"/>
      <c r="H88" s="342"/>
      <c r="I88" s="342"/>
      <c r="J88" s="353"/>
      <c r="AE88" s="369"/>
      <c r="AF88" s="369"/>
      <c r="AG88" s="10"/>
      <c r="AH88" s="10"/>
      <c r="AI88" s="10"/>
      <c r="AJ88" s="10"/>
      <c r="AK88" s="10"/>
      <c r="AL88" s="10"/>
      <c r="AM88" s="10"/>
      <c r="AN88" s="10"/>
      <c r="AO88" s="10"/>
    </row>
    <row r="89" spans="1:41" ht="13" x14ac:dyDescent="0.3">
      <c r="A89" s="5"/>
      <c r="B89" s="341"/>
      <c r="C89" s="342"/>
      <c r="D89" s="342"/>
      <c r="E89" s="497"/>
      <c r="F89" s="128"/>
      <c r="G89" s="498" t="s">
        <v>257</v>
      </c>
      <c r="H89" s="499">
        <f>C15</f>
        <v>40</v>
      </c>
      <c r="I89" s="342"/>
      <c r="J89" s="353"/>
      <c r="AE89" s="369"/>
      <c r="AF89" s="369"/>
      <c r="AG89" s="10"/>
      <c r="AH89" s="10"/>
      <c r="AI89" s="10"/>
      <c r="AJ89" s="10"/>
      <c r="AK89" s="10"/>
      <c r="AL89" s="10"/>
      <c r="AM89" s="10"/>
      <c r="AN89" s="10"/>
      <c r="AO89" s="10"/>
    </row>
    <row r="90" spans="1:41" ht="13.5" thickBot="1" x14ac:dyDescent="0.35">
      <c r="A90" s="5"/>
      <c r="B90" s="343" t="s">
        <v>7</v>
      </c>
      <c r="C90" s="342"/>
      <c r="D90" s="517">
        <f>D9</f>
        <v>0.06</v>
      </c>
      <c r="E90" s="388" t="s">
        <v>3</v>
      </c>
      <c r="F90" s="389"/>
      <c r="G90" s="500" t="s">
        <v>180</v>
      </c>
      <c r="H90" s="501">
        <f>C16</f>
        <v>80</v>
      </c>
      <c r="I90" s="342"/>
      <c r="J90" s="353"/>
      <c r="AE90" s="369"/>
      <c r="AF90" s="369"/>
      <c r="AG90" s="10"/>
      <c r="AH90" s="10"/>
      <c r="AI90" s="10"/>
      <c r="AJ90" s="10"/>
      <c r="AK90" s="10"/>
      <c r="AL90" s="10"/>
      <c r="AM90" s="10"/>
      <c r="AN90" s="10"/>
      <c r="AO90" s="10"/>
    </row>
    <row r="91" spans="1:41" ht="13" x14ac:dyDescent="0.3">
      <c r="A91" s="5"/>
      <c r="B91" s="341" t="s">
        <v>3</v>
      </c>
      <c r="C91" s="342"/>
      <c r="D91" s="342"/>
      <c r="E91" s="342"/>
      <c r="F91" s="342"/>
      <c r="G91" s="342"/>
      <c r="H91" s="342"/>
      <c r="I91" s="342"/>
      <c r="J91" s="353"/>
      <c r="AE91" s="369"/>
      <c r="AF91" s="369"/>
      <c r="AG91" s="10"/>
      <c r="AH91" s="10"/>
      <c r="AI91" s="10"/>
      <c r="AJ91" s="10"/>
      <c r="AK91" s="10"/>
      <c r="AL91" s="10"/>
      <c r="AM91" s="10"/>
      <c r="AN91" s="10"/>
      <c r="AO91" s="10"/>
    </row>
    <row r="92" spans="1:41" ht="13" x14ac:dyDescent="0.3">
      <c r="A92" s="5"/>
      <c r="B92" s="348" t="s">
        <v>8</v>
      </c>
      <c r="C92" s="349">
        <f>(C93*E88)</f>
        <v>39.583333333333329</v>
      </c>
      <c r="D92" s="350" t="s">
        <v>9</v>
      </c>
      <c r="E92" s="351">
        <f>(C84/(SQRT(C92)))</f>
        <v>5.5630358996731841E-2</v>
      </c>
      <c r="F92" s="347" t="s">
        <v>10</v>
      </c>
      <c r="G92" s="352">
        <f>(C92*E84)+(C93*E86)+H84+H85+H86</f>
        <v>395.83333333333326</v>
      </c>
      <c r="H92" s="347"/>
      <c r="I92" s="508"/>
      <c r="J92" s="353"/>
      <c r="AE92" s="369"/>
      <c r="AF92" s="369"/>
      <c r="AG92" s="10"/>
      <c r="AH92" s="10"/>
      <c r="AI92" s="10"/>
      <c r="AJ92" s="10"/>
      <c r="AK92" s="10"/>
      <c r="AL92" s="10"/>
      <c r="AM92" s="10"/>
      <c r="AN92" s="10"/>
      <c r="AO92" s="10"/>
    </row>
    <row r="93" spans="1:41" ht="13.5" thickBot="1" x14ac:dyDescent="0.35">
      <c r="A93" s="5"/>
      <c r="B93" s="348" t="s">
        <v>12</v>
      </c>
      <c r="C93" s="349">
        <f>((C84*C84)+(C86*C86*E88))/(D90*D90*E88)</f>
        <v>79.166666666666657</v>
      </c>
      <c r="D93" s="350" t="s">
        <v>13</v>
      </c>
      <c r="E93" s="355">
        <f>(C86/(SQRT(C93)))</f>
        <v>2.2478059477960655E-2</v>
      </c>
      <c r="F93" s="342"/>
      <c r="G93" s="342"/>
      <c r="H93" s="354"/>
      <c r="I93" s="510"/>
      <c r="J93" s="353"/>
      <c r="AE93" s="369"/>
      <c r="AF93" s="369"/>
      <c r="AG93" s="10"/>
      <c r="AH93" s="10"/>
      <c r="AI93" s="10"/>
      <c r="AJ93" s="10"/>
      <c r="AK93" s="10"/>
      <c r="AL93" s="10"/>
      <c r="AM93" s="10"/>
      <c r="AN93" s="10"/>
      <c r="AO93" s="10"/>
    </row>
    <row r="94" spans="1:41" ht="14" thickTop="1" thickBot="1" x14ac:dyDescent="0.35">
      <c r="A94" s="5"/>
      <c r="B94" s="388"/>
      <c r="C94" s="389"/>
      <c r="D94" s="390" t="s">
        <v>141</v>
      </c>
      <c r="E94" s="391">
        <f>SQRT(E93^2+E92^2)</f>
        <v>6.0000000000000005E-2</v>
      </c>
      <c r="F94" s="389"/>
      <c r="G94" s="389"/>
      <c r="H94" s="389"/>
      <c r="I94" s="389"/>
      <c r="J94" s="511"/>
      <c r="N94" s="533"/>
      <c r="O94" s="533"/>
      <c r="P94" s="36"/>
      <c r="Q94" s="36"/>
      <c r="AE94" s="369"/>
      <c r="AF94" s="369"/>
      <c r="AG94" s="10"/>
      <c r="AH94" s="10"/>
      <c r="AI94" s="10"/>
      <c r="AJ94" s="10"/>
      <c r="AK94" s="10"/>
      <c r="AL94" s="10"/>
      <c r="AM94" s="10"/>
      <c r="AN94" s="10"/>
      <c r="AO94" s="10"/>
    </row>
    <row r="95" spans="1:41" x14ac:dyDescent="0.25">
      <c r="N95" s="533"/>
      <c r="O95" s="533"/>
      <c r="P95" s="36"/>
      <c r="Q95" s="36"/>
      <c r="AE95" s="369"/>
      <c r="AF95" s="369"/>
      <c r="AG95" s="10"/>
      <c r="AH95" s="10"/>
      <c r="AI95" s="10"/>
      <c r="AJ95" s="10"/>
      <c r="AK95" s="10"/>
      <c r="AL95" s="10"/>
      <c r="AM95" s="10"/>
      <c r="AN95" s="10"/>
      <c r="AO95" s="10"/>
    </row>
    <row r="96" spans="1:41" ht="15.5" x14ac:dyDescent="0.35">
      <c r="A96" s="468">
        <v>9</v>
      </c>
      <c r="B96" s="403" t="s">
        <v>218</v>
      </c>
      <c r="C96" s="404"/>
      <c r="D96" s="400"/>
      <c r="E96" s="407" t="s">
        <v>216</v>
      </c>
      <c r="F96" s="1202">
        <v>20</v>
      </c>
      <c r="G96" s="400"/>
      <c r="H96" s="400"/>
      <c r="I96" s="401"/>
      <c r="N96" s="533"/>
      <c r="O96" s="533"/>
      <c r="P96" s="36"/>
      <c r="Q96" s="36"/>
      <c r="AE96" s="369"/>
      <c r="AF96" s="369"/>
      <c r="AG96" s="10"/>
      <c r="AH96" s="10"/>
      <c r="AI96" s="10"/>
      <c r="AJ96" s="10"/>
      <c r="AK96" s="10"/>
      <c r="AL96" s="10"/>
      <c r="AM96" s="10"/>
      <c r="AN96" s="10"/>
      <c r="AO96" s="10"/>
    </row>
    <row r="97" spans="1:45" ht="15.5" x14ac:dyDescent="0.35">
      <c r="B97" s="405" t="s">
        <v>217</v>
      </c>
      <c r="C97" s="406"/>
      <c r="D97" s="402"/>
      <c r="E97" s="408" t="s">
        <v>214</v>
      </c>
      <c r="F97" s="1203">
        <v>30</v>
      </c>
      <c r="G97" s="402"/>
      <c r="H97" s="408" t="s">
        <v>215</v>
      </c>
      <c r="I97" s="897">
        <f>(SQRT(F96)+SQRT(F97))^2</f>
        <v>98.98979485566359</v>
      </c>
      <c r="N97" s="533"/>
      <c r="O97" s="533"/>
      <c r="P97" s="36"/>
      <c r="Q97" s="36"/>
      <c r="AE97" s="369"/>
      <c r="AF97" s="369"/>
      <c r="AG97" s="10"/>
      <c r="AH97" s="10"/>
      <c r="AI97" s="10"/>
      <c r="AJ97" s="10"/>
      <c r="AK97" s="10"/>
      <c r="AL97" s="10"/>
      <c r="AM97" s="10"/>
      <c r="AN97" s="10"/>
      <c r="AO97" s="10"/>
    </row>
    <row r="98" spans="1:45" x14ac:dyDescent="0.25">
      <c r="N98" s="533"/>
      <c r="O98" s="533"/>
      <c r="P98" s="36"/>
      <c r="Q98" s="36"/>
      <c r="AE98" s="369"/>
      <c r="AF98" s="369"/>
      <c r="AG98" s="10"/>
      <c r="AH98" s="10"/>
      <c r="AI98" s="10"/>
      <c r="AJ98" s="10"/>
      <c r="AK98" s="10"/>
      <c r="AL98" s="10"/>
      <c r="AM98" s="10"/>
      <c r="AN98" s="10"/>
      <c r="AO98" s="10"/>
    </row>
    <row r="99" spans="1:45" x14ac:dyDescent="0.25">
      <c r="N99" s="533"/>
      <c r="O99" s="533"/>
      <c r="P99" s="36"/>
      <c r="Q99" s="36"/>
      <c r="AE99" s="369"/>
      <c r="AF99" s="369"/>
      <c r="AG99" s="10"/>
      <c r="AH99" s="10"/>
      <c r="AI99" s="10"/>
      <c r="AJ99" s="10"/>
      <c r="AK99" s="10"/>
      <c r="AL99" s="10"/>
      <c r="AM99" s="10"/>
      <c r="AN99" s="10"/>
      <c r="AO99" s="10"/>
    </row>
    <row r="100" spans="1:45" s="24" customFormat="1" ht="9" customHeight="1" x14ac:dyDescent="0.25">
      <c r="A100" s="451"/>
      <c r="L100" s="530"/>
      <c r="N100" s="534"/>
      <c r="O100" s="534"/>
      <c r="P100" s="485"/>
      <c r="Q100" s="485"/>
      <c r="R100" s="10"/>
      <c r="S100" s="10"/>
      <c r="T100" s="10"/>
      <c r="U100" s="10"/>
      <c r="V100" s="10"/>
      <c r="W100" s="10"/>
      <c r="X100" s="10"/>
      <c r="Y100" s="10"/>
      <c r="Z100" s="10"/>
      <c r="AA100" s="10"/>
      <c r="AB100" s="10"/>
      <c r="AC100" s="10"/>
      <c r="AD100" s="10"/>
      <c r="AE100" s="369"/>
      <c r="AF100" s="369"/>
      <c r="AG100" s="10"/>
      <c r="AH100" s="10"/>
      <c r="AI100" s="10"/>
      <c r="AJ100" s="10"/>
      <c r="AK100" s="10"/>
      <c r="AL100" s="10"/>
      <c r="AM100" s="10"/>
      <c r="AN100" s="10"/>
      <c r="AO100" s="10"/>
      <c r="AP100" s="10"/>
      <c r="AQ100" s="10"/>
      <c r="AR100" s="10"/>
      <c r="AS100" s="10"/>
    </row>
    <row r="101" spans="1:45" ht="13" x14ac:dyDescent="0.3">
      <c r="A101" s="696" t="str">
        <f>+B1</f>
        <v>{2023}</v>
      </c>
      <c r="B101" s="697"/>
      <c r="C101" s="697"/>
      <c r="D101" s="698" t="s">
        <v>255</v>
      </c>
      <c r="E101" s="697"/>
      <c r="F101" s="697"/>
      <c r="G101" s="697"/>
      <c r="H101" s="697"/>
      <c r="J101" s="697"/>
      <c r="M101" s="484"/>
      <c r="AE101" s="369"/>
      <c r="AF101" s="369"/>
      <c r="AG101" s="10"/>
      <c r="AH101" s="10"/>
      <c r="AI101" s="10"/>
      <c r="AJ101" s="10"/>
      <c r="AK101" s="10"/>
      <c r="AL101" s="10"/>
      <c r="AM101" s="10"/>
      <c r="AN101" s="10"/>
      <c r="AO101" s="10"/>
    </row>
    <row r="102" spans="1:45" ht="13" thickBot="1" x14ac:dyDescent="0.3">
      <c r="A102" s="696"/>
      <c r="B102" s="697" t="s">
        <v>3</v>
      </c>
      <c r="C102" s="697"/>
      <c r="D102" s="697"/>
      <c r="E102" s="697"/>
      <c r="F102" s="697"/>
      <c r="G102" s="697" t="s">
        <v>3</v>
      </c>
      <c r="H102" s="697"/>
      <c r="I102" s="697"/>
      <c r="J102" s="697"/>
      <c r="K102" s="697"/>
      <c r="M102" s="484"/>
      <c r="AE102" s="369"/>
      <c r="AF102" s="369"/>
      <c r="AG102" s="10"/>
      <c r="AH102" s="10"/>
      <c r="AI102" s="10"/>
      <c r="AJ102" s="10"/>
      <c r="AK102" s="10"/>
      <c r="AL102" s="10"/>
      <c r="AM102" s="10"/>
      <c r="AN102" s="10"/>
      <c r="AO102" s="10"/>
    </row>
    <row r="103" spans="1:45" ht="13" x14ac:dyDescent="0.3">
      <c r="A103" s="696">
        <f>A1</f>
        <v>1</v>
      </c>
      <c r="B103" s="699"/>
      <c r="C103" s="700"/>
      <c r="D103" s="700"/>
      <c r="E103" s="700"/>
      <c r="F103" s="701"/>
      <c r="G103" s="701"/>
      <c r="H103" s="701"/>
      <c r="I103" s="702"/>
      <c r="J103" s="703"/>
      <c r="K103" s="697"/>
      <c r="M103" s="484"/>
      <c r="AE103" s="369"/>
      <c r="AF103" s="369"/>
      <c r="AG103" s="10"/>
      <c r="AH103" s="10"/>
      <c r="AI103" s="10"/>
      <c r="AJ103" s="10"/>
      <c r="AK103" s="10"/>
      <c r="AL103" s="10"/>
      <c r="AM103" s="10"/>
      <c r="AN103" s="10"/>
      <c r="AO103" s="10"/>
    </row>
    <row r="104" spans="1:45" ht="13" x14ac:dyDescent="0.3">
      <c r="A104" s="696"/>
      <c r="B104" s="704"/>
      <c r="C104" s="705" t="s">
        <v>0</v>
      </c>
      <c r="D104" s="697"/>
      <c r="E104" s="705" t="str">
        <f>E2</f>
        <v xml:space="preserve">   Measurement Costs</v>
      </c>
      <c r="F104" s="697"/>
      <c r="G104" s="697"/>
      <c r="H104" s="705" t="str">
        <f>H2</f>
        <v xml:space="preserve">  Fixed costs:</v>
      </c>
      <c r="I104" s="697"/>
      <c r="J104" s="706"/>
      <c r="K104" s="697"/>
      <c r="M104" s="484"/>
      <c r="AE104" s="369"/>
      <c r="AF104" s="369"/>
      <c r="AG104" s="10"/>
      <c r="AH104" s="10"/>
      <c r="AI104" s="10"/>
      <c r="AJ104" s="10"/>
      <c r="AK104" s="10"/>
      <c r="AL104" s="10"/>
      <c r="AM104" s="10"/>
      <c r="AN104" s="10"/>
      <c r="AO104" s="10"/>
    </row>
    <row r="105" spans="1:45" ht="15.5" x14ac:dyDescent="0.35">
      <c r="A105" s="696"/>
      <c r="B105" s="707" t="str">
        <f>B3</f>
        <v xml:space="preserve">        CV(TC)</v>
      </c>
      <c r="C105" s="708">
        <f>C3</f>
        <v>0.35</v>
      </c>
      <c r="D105" s="697" t="s">
        <v>3</v>
      </c>
      <c r="E105" s="1170">
        <f>E3</f>
        <v>6</v>
      </c>
      <c r="F105" s="697" t="str">
        <f>F3</f>
        <v xml:space="preserve">= Cost (TC) </v>
      </c>
      <c r="G105" s="697"/>
      <c r="H105" s="1171">
        <f>H3</f>
        <v>0</v>
      </c>
      <c r="I105" s="709" t="str">
        <f>I3</f>
        <v>cost #1, perhaps travel to plot</v>
      </c>
      <c r="J105" s="706"/>
      <c r="K105" s="697"/>
      <c r="M105" s="484"/>
    </row>
    <row r="106" spans="1:45" ht="15.5" x14ac:dyDescent="0.35">
      <c r="A106" s="696"/>
      <c r="B106" s="704"/>
      <c r="C106" s="697"/>
      <c r="D106" s="697"/>
      <c r="E106" s="697" t="s">
        <v>3</v>
      </c>
      <c r="F106" s="697"/>
      <c r="G106" s="697"/>
      <c r="H106" s="1171">
        <f>H4</f>
        <v>0</v>
      </c>
      <c r="I106" s="709" t="str">
        <f>I4</f>
        <v>cost #2, other costs PER plot</v>
      </c>
      <c r="J106" s="706"/>
      <c r="K106" s="697"/>
      <c r="M106" s="484"/>
    </row>
    <row r="107" spans="1:45" ht="15.5" x14ac:dyDescent="0.35">
      <c r="A107" s="696"/>
      <c r="B107" s="710" t="str">
        <f>B5</f>
        <v xml:space="preserve">         CV(*BAR)</v>
      </c>
      <c r="C107" s="708">
        <f>C5</f>
        <v>0.2</v>
      </c>
      <c r="D107" s="697" t="s">
        <v>3</v>
      </c>
      <c r="E107" s="1170">
        <f>E5</f>
        <v>2</v>
      </c>
      <c r="F107" s="697" t="str">
        <f>F5</f>
        <v xml:space="preserve">= Cost (*BAR) </v>
      </c>
      <c r="G107" s="697"/>
      <c r="H107" s="1171">
        <f>H5</f>
        <v>0</v>
      </c>
      <c r="I107" s="709" t="str">
        <f>I5</f>
        <v>cost #3, additional  cost/plot</v>
      </c>
      <c r="J107" s="706"/>
      <c r="K107" s="697"/>
      <c r="M107" s="484"/>
    </row>
    <row r="108" spans="1:45" x14ac:dyDescent="0.25">
      <c r="A108" s="696"/>
      <c r="B108" s="704" t="s">
        <v>3</v>
      </c>
      <c r="C108" s="697" t="s">
        <v>3</v>
      </c>
      <c r="D108" s="697" t="s">
        <v>3</v>
      </c>
      <c r="E108" s="697" t="s">
        <v>3</v>
      </c>
      <c r="F108" s="711" t="s">
        <v>3</v>
      </c>
      <c r="G108" s="697" t="s">
        <v>3</v>
      </c>
      <c r="H108" s="868">
        <f>H6</f>
        <v>0</v>
      </c>
      <c r="I108" s="712" t="s">
        <v>88</v>
      </c>
      <c r="J108" s="706"/>
      <c r="K108" s="697"/>
      <c r="M108" s="484"/>
    </row>
    <row r="109" spans="1:45" ht="13" x14ac:dyDescent="0.3">
      <c r="A109" s="696"/>
      <c r="B109" s="713"/>
      <c r="C109" s="697"/>
      <c r="D109" s="714" t="str">
        <f t="shared" ref="D109:F110" si="33">D7</f>
        <v xml:space="preserve">     Ratio for lowest cost answer ==&gt;</v>
      </c>
      <c r="E109" s="847">
        <f t="shared" si="33"/>
        <v>1.0103629710818451</v>
      </c>
      <c r="F109" s="697" t="str">
        <f t="shared" si="33"/>
        <v xml:space="preserve"> TC per *BAR</v>
      </c>
      <c r="G109" s="697"/>
      <c r="H109" s="697"/>
      <c r="I109" s="697" t="s">
        <v>3</v>
      </c>
      <c r="J109" s="706"/>
      <c r="K109" s="697"/>
      <c r="M109" s="484"/>
    </row>
    <row r="110" spans="1:45" x14ac:dyDescent="0.25">
      <c r="A110" s="696"/>
      <c r="B110" s="713"/>
      <c r="C110" s="697"/>
      <c r="D110" s="697" t="str">
        <f t="shared" si="33"/>
        <v>which is =&gt;</v>
      </c>
      <c r="E110" s="863">
        <f t="shared" si="33"/>
        <v>0.98974331861078702</v>
      </c>
      <c r="F110" s="697" t="str">
        <f t="shared" si="33"/>
        <v xml:space="preserve"> *BAR /TC</v>
      </c>
      <c r="G110" s="715"/>
      <c r="H110" s="714" t="str">
        <f>H8</f>
        <v xml:space="preserve">    "Big BAF" Multiplier =</v>
      </c>
      <c r="I110" s="848">
        <f>I8</f>
        <v>6.0621778264910704</v>
      </c>
      <c r="J110" s="706"/>
      <c r="K110" s="697"/>
      <c r="M110" s="484"/>
    </row>
    <row r="111" spans="1:45" ht="15.5" x14ac:dyDescent="0.35">
      <c r="A111" s="696"/>
      <c r="B111" s="710"/>
      <c r="C111" s="716" t="str">
        <f>C9</f>
        <v xml:space="preserve"> 1 Desired SEc% (Total) ==&gt;</v>
      </c>
      <c r="D111" s="1167">
        <f>D9</f>
        <v>0.06</v>
      </c>
      <c r="E111" s="697" t="s">
        <v>3</v>
      </c>
      <c r="F111" s="697"/>
      <c r="G111" s="697" t="s">
        <v>3</v>
      </c>
      <c r="H111" s="697"/>
      <c r="I111" s="697" t="s">
        <v>3</v>
      </c>
      <c r="J111" s="706"/>
      <c r="K111" s="697"/>
      <c r="M111" s="484"/>
    </row>
    <row r="112" spans="1:45" x14ac:dyDescent="0.25">
      <c r="A112" s="696"/>
      <c r="B112" s="704" t="s">
        <v>3</v>
      </c>
      <c r="C112" s="697"/>
      <c r="D112" s="697"/>
      <c r="E112" s="697"/>
      <c r="F112" s="697"/>
      <c r="G112" s="697"/>
      <c r="H112" s="697"/>
      <c r="I112" s="697" t="s">
        <v>3</v>
      </c>
      <c r="J112" s="706"/>
      <c r="K112" s="697"/>
      <c r="M112" s="484"/>
    </row>
    <row r="113" spans="1:13" ht="13.5" customHeight="1" x14ac:dyDescent="0.3">
      <c r="A113" s="696"/>
      <c r="B113" s="717" t="str">
        <f t="shared" ref="B113:I113" si="34">B11</f>
        <v>n points</v>
      </c>
      <c r="C113" s="847">
        <f t="shared" si="34"/>
        <v>45.254033012020493</v>
      </c>
      <c r="D113" s="718" t="str">
        <f t="shared" si="34"/>
        <v>1 SE% (TC)</v>
      </c>
      <c r="E113" s="670">
        <f t="shared" si="34"/>
        <v>5.2028271718295646E-2</v>
      </c>
      <c r="F113" s="714" t="str">
        <f t="shared" si="34"/>
        <v>Total cost=</v>
      </c>
      <c r="G113" s="866">
        <f t="shared" si="34"/>
        <v>361.10395169980148</v>
      </c>
      <c r="H113" s="714" t="str">
        <f t="shared" si="34"/>
        <v>cost/point=</v>
      </c>
      <c r="I113" s="848">
        <f t="shared" si="34"/>
        <v>7.9794866372215738</v>
      </c>
      <c r="J113" s="706"/>
      <c r="K113" s="697"/>
      <c r="M113" s="484"/>
    </row>
    <row r="114" spans="1:13" ht="13.5" thickBot="1" x14ac:dyDescent="0.35">
      <c r="A114" s="696"/>
      <c r="B114" s="719" t="str">
        <f>B12</f>
        <v>n (*BAR)</v>
      </c>
      <c r="C114" s="865">
        <f>C12</f>
        <v>44.789876813839271</v>
      </c>
      <c r="D114" s="720" t="str">
        <f>D12</f>
        <v>SE% (*BAR)</v>
      </c>
      <c r="E114" s="864">
        <f>E12</f>
        <v>2.9884091788227353E-2</v>
      </c>
      <c r="F114" s="721"/>
      <c r="G114" s="721"/>
      <c r="H114" s="722" t="str">
        <f>H12</f>
        <v>"CVac" =&gt;      This is a kind of Total CV for the combination of points and *BAR you are using here</v>
      </c>
      <c r="I114" s="867">
        <f>I12</f>
        <v>0.40362670729682121</v>
      </c>
      <c r="J114" s="723"/>
      <c r="K114" s="697"/>
      <c r="M114" s="484"/>
    </row>
    <row r="115" spans="1:13" ht="13" x14ac:dyDescent="0.3">
      <c r="A115" s="696"/>
      <c r="B115" s="724" t="str">
        <f>B13</f>
        <v>Notes =&gt;</v>
      </c>
      <c r="C115" s="725" t="str">
        <f>C13</f>
        <v>Other notes can go in this area when they apply to the CURRENT run ............................</v>
      </c>
      <c r="D115" s="726"/>
      <c r="E115" s="726"/>
      <c r="F115" s="726"/>
      <c r="G115" s="726"/>
      <c r="H115" s="726"/>
      <c r="I115" s="726"/>
      <c r="J115" s="697"/>
      <c r="K115" s="697"/>
      <c r="M115" s="484"/>
    </row>
    <row r="116" spans="1:13" ht="13" x14ac:dyDescent="0.3">
      <c r="A116" s="696"/>
      <c r="B116" s="724"/>
      <c r="C116" s="727" t="str">
        <f>H9</f>
        <v>notes 1</v>
      </c>
      <c r="D116" s="726"/>
      <c r="E116" s="726"/>
      <c r="F116" s="726"/>
      <c r="G116" s="726"/>
      <c r="H116" s="726"/>
      <c r="I116" s="726"/>
      <c r="J116" s="697"/>
      <c r="K116" s="697"/>
      <c r="M116" s="484"/>
    </row>
    <row r="117" spans="1:13" ht="13" x14ac:dyDescent="0.3">
      <c r="A117" s="696"/>
      <c r="B117" s="724"/>
      <c r="C117" s="727" t="str">
        <f>H10</f>
        <v>notes 2</v>
      </c>
      <c r="D117" s="726"/>
      <c r="E117" s="726"/>
      <c r="F117" s="726"/>
      <c r="G117" s="726"/>
      <c r="H117" s="726"/>
      <c r="I117" s="896">
        <f ca="1">NOW()</f>
        <v>45149.674516898151</v>
      </c>
      <c r="J117" s="697"/>
      <c r="K117" s="697"/>
      <c r="M117" s="484"/>
    </row>
    <row r="118" spans="1:13" ht="13" x14ac:dyDescent="0.3">
      <c r="A118" s="696"/>
      <c r="B118" s="724"/>
      <c r="C118" s="728" t="str">
        <f>I9</f>
        <v>notes 3</v>
      </c>
      <c r="D118" s="726"/>
      <c r="E118" s="726"/>
      <c r="F118" s="726"/>
      <c r="G118" s="726"/>
      <c r="H118" s="726"/>
      <c r="I118" s="726"/>
      <c r="J118" s="697"/>
      <c r="K118" s="697"/>
      <c r="M118" s="484"/>
    </row>
    <row r="119" spans="1:13" ht="13.5" thickBot="1" x14ac:dyDescent="0.35">
      <c r="A119" s="696"/>
      <c r="B119" s="724"/>
      <c r="C119" s="729" t="str">
        <f>I10</f>
        <v>notes 4</v>
      </c>
      <c r="D119" s="726"/>
      <c r="E119" s="726"/>
      <c r="F119" s="726"/>
      <c r="G119" s="726"/>
      <c r="H119" s="726"/>
      <c r="I119" s="726"/>
      <c r="J119" s="697"/>
      <c r="K119" s="697"/>
      <c r="M119" s="484"/>
    </row>
    <row r="120" spans="1:13" ht="13" x14ac:dyDescent="0.3">
      <c r="A120" s="696">
        <f>A14</f>
        <v>2</v>
      </c>
      <c r="B120" s="730" t="str">
        <f>B14</f>
        <v xml:space="preserve">           Other Options Section : (Try any combination)</v>
      </c>
      <c r="C120" s="731"/>
      <c r="D120" s="732"/>
      <c r="E120" s="731"/>
      <c r="F120" s="701"/>
      <c r="G120" s="701" t="str">
        <f>G14</f>
        <v xml:space="preserve">  "BIG BAF multiplier" =</v>
      </c>
      <c r="H120" s="701"/>
      <c r="I120" s="872">
        <f t="shared" ref="I120:I125" si="35">I14</f>
        <v>3</v>
      </c>
      <c r="J120" s="697"/>
      <c r="K120" s="697"/>
      <c r="M120" s="484"/>
    </row>
    <row r="121" spans="1:13" ht="15.5" x14ac:dyDescent="0.35">
      <c r="A121" s="696"/>
      <c r="B121" s="707" t="str">
        <f t="shared" ref="B121:F123" si="36">B15</f>
        <v xml:space="preserve">  n points</v>
      </c>
      <c r="C121" s="1172">
        <f t="shared" si="36"/>
        <v>40</v>
      </c>
      <c r="D121" s="733">
        <f t="shared" si="36"/>
        <v>39.583333333333329</v>
      </c>
      <c r="E121" s="718" t="str">
        <f t="shared" si="36"/>
        <v>SE%(TC)</v>
      </c>
      <c r="F121" s="670">
        <f t="shared" si="36"/>
        <v>5.5339859052946631E-2</v>
      </c>
      <c r="G121" s="734"/>
      <c r="H121" s="735" t="str">
        <f>H15</f>
        <v>Ave TC?=&gt;</v>
      </c>
      <c r="I121" s="1173">
        <f t="shared" si="35"/>
        <v>6</v>
      </c>
      <c r="J121" s="697"/>
      <c r="K121" s="697"/>
      <c r="M121" s="484"/>
    </row>
    <row r="122" spans="1:13" ht="15.5" x14ac:dyDescent="0.35">
      <c r="A122" s="696"/>
      <c r="B122" s="707" t="str">
        <f t="shared" si="36"/>
        <v xml:space="preserve">  n(*BAR)</v>
      </c>
      <c r="C122" s="1172">
        <f t="shared" si="36"/>
        <v>80</v>
      </c>
      <c r="D122" s="733">
        <f t="shared" si="36"/>
        <v>79.166666666666657</v>
      </c>
      <c r="E122" s="735" t="str">
        <f t="shared" si="36"/>
        <v>SE%(*BAR)</v>
      </c>
      <c r="F122" s="670">
        <f t="shared" si="36"/>
        <v>2.2360679774997897E-2</v>
      </c>
      <c r="G122" s="734"/>
      <c r="H122" s="736" t="str">
        <f>H16</f>
        <v>(n*TC) =</v>
      </c>
      <c r="I122" s="873">
        <f t="shared" si="35"/>
        <v>240</v>
      </c>
      <c r="J122" s="697"/>
      <c r="K122" s="697"/>
      <c r="M122" s="484"/>
    </row>
    <row r="123" spans="1:13" ht="13" x14ac:dyDescent="0.3">
      <c r="A123" s="696"/>
      <c r="B123" s="737" t="str">
        <f t="shared" si="36"/>
        <v>Ratio Efficiency</v>
      </c>
      <c r="C123" s="697" t="str">
        <f t="shared" si="36"/>
        <v>Overall</v>
      </c>
      <c r="D123" s="869">
        <f t="shared" si="36"/>
        <v>0.91226261482055127</v>
      </c>
      <c r="E123" s="738" t="str">
        <f t="shared" si="36"/>
        <v>SE%(TOTAL)</v>
      </c>
      <c r="F123" s="870">
        <f t="shared" si="36"/>
        <v>5.9686681931566607E-2</v>
      </c>
      <c r="G123" s="734"/>
      <c r="H123" s="736" t="str">
        <f>H17</f>
        <v xml:space="preserve">Total TC plots =  </v>
      </c>
      <c r="I123" s="874">
        <f t="shared" si="35"/>
        <v>13.333333333333334</v>
      </c>
      <c r="J123" s="697"/>
      <c r="K123" s="697"/>
      <c r="M123" s="484"/>
    </row>
    <row r="124" spans="1:13" ht="13" x14ac:dyDescent="0.3">
      <c r="A124" s="696"/>
      <c r="B124" s="739" t="s">
        <v>3</v>
      </c>
      <c r="C124" s="740" t="str">
        <f>C18</f>
        <v>Field</v>
      </c>
      <c r="D124" s="869">
        <f>D18</f>
        <v>0.91226261482055127</v>
      </c>
      <c r="E124" s="741" t="str">
        <f>E18</f>
        <v>Total Cost =</v>
      </c>
      <c r="F124" s="871">
        <f>F18</f>
        <v>400</v>
      </c>
      <c r="G124" s="734"/>
      <c r="H124" s="736" t="str">
        <f>H18</f>
        <v xml:space="preserve"> $/point=</v>
      </c>
      <c r="I124" s="874">
        <f t="shared" si="35"/>
        <v>10</v>
      </c>
      <c r="J124" s="697"/>
      <c r="K124" s="697"/>
      <c r="M124" s="484"/>
    </row>
    <row r="125" spans="1:13" ht="13" thickBot="1" x14ac:dyDescent="0.3">
      <c r="A125" s="696"/>
      <c r="B125" s="742"/>
      <c r="C125" s="721"/>
      <c r="D125" s="721"/>
      <c r="E125" s="743" t="str">
        <f>E19</f>
        <v>Compared to Optimum, Total cost &amp; efficiency ratio is ==&gt;</v>
      </c>
      <c r="F125" s="867">
        <f>F19</f>
        <v>1.1077142693041868</v>
      </c>
      <c r="G125" s="867">
        <f>G19</f>
        <v>0.90275987924950374</v>
      </c>
      <c r="H125" s="744" t="str">
        <f>H19</f>
        <v>"CVac" =&gt;      This is a kind of Total CV for the combination of points and *BAR you are using here</v>
      </c>
      <c r="I125" s="875">
        <f t="shared" si="35"/>
        <v>0.37749172176353751</v>
      </c>
      <c r="J125" s="697"/>
      <c r="K125" s="697"/>
      <c r="M125" s="484"/>
    </row>
    <row r="126" spans="1:13" x14ac:dyDescent="0.25">
      <c r="A126" s="711"/>
      <c r="B126" s="697"/>
      <c r="C126" s="697"/>
      <c r="D126" s="697"/>
      <c r="E126" s="697"/>
      <c r="F126" s="697"/>
      <c r="G126" s="697"/>
      <c r="H126" s="697"/>
      <c r="I126" s="697"/>
      <c r="J126" s="697"/>
      <c r="K126" s="697"/>
      <c r="M126" s="484"/>
    </row>
    <row r="127" spans="1:13" ht="13" thickBot="1" x14ac:dyDescent="0.3">
      <c r="A127" s="711"/>
      <c r="B127" s="697"/>
      <c r="C127" s="697"/>
      <c r="D127" s="697"/>
      <c r="E127" s="697"/>
      <c r="F127" s="697"/>
      <c r="G127" s="697"/>
      <c r="H127" s="697"/>
      <c r="I127" s="697"/>
      <c r="J127" s="697"/>
      <c r="K127" s="697"/>
      <c r="M127" s="484"/>
    </row>
    <row r="128" spans="1:13" ht="13" x14ac:dyDescent="0.3">
      <c r="A128" s="696">
        <f>A22</f>
        <v>3</v>
      </c>
      <c r="B128" s="730" t="str">
        <f>B22</f>
        <v xml:space="preserve">           Full Measure Comparison,  ALL trees measured</v>
      </c>
      <c r="C128" s="732"/>
      <c r="D128" s="732"/>
      <c r="E128" s="732"/>
      <c r="F128" s="732"/>
      <c r="G128" s="732"/>
      <c r="H128" s="745">
        <f>H22</f>
        <v>0</v>
      </c>
      <c r="I128" s="746"/>
      <c r="J128" s="697"/>
      <c r="K128" s="697"/>
      <c r="M128" s="484"/>
    </row>
    <row r="129" spans="1:13" ht="15.5" x14ac:dyDescent="0.35">
      <c r="A129" s="696"/>
      <c r="B129" s="747" t="s">
        <v>3</v>
      </c>
      <c r="C129" s="697" t="str">
        <f t="shared" ref="C129:D131" si="37">C23</f>
        <v>number</v>
      </c>
      <c r="D129" s="697" t="str">
        <f t="shared" si="37"/>
        <v xml:space="preserve">  one SE%</v>
      </c>
      <c r="E129" s="697"/>
      <c r="F129" s="711" t="str">
        <f>F23</f>
        <v>Ratio:</v>
      </c>
      <c r="G129" s="697"/>
      <c r="H129" s="697" t="str">
        <f>H23</f>
        <v>Ave TC?=&gt;</v>
      </c>
      <c r="I129" s="1169">
        <f>I23</f>
        <v>6</v>
      </c>
      <c r="J129" s="697"/>
      <c r="K129" s="697"/>
      <c r="M129" s="484"/>
    </row>
    <row r="130" spans="1:13" ht="13" x14ac:dyDescent="0.3">
      <c r="A130" s="696"/>
      <c r="B130" s="747" t="str">
        <f>B24</f>
        <v># Points</v>
      </c>
      <c r="C130" s="847">
        <f t="shared" si="37"/>
        <v>35.879629629629626</v>
      </c>
      <c r="D130" s="670">
        <f t="shared" si="37"/>
        <v>5.8431100865781203E-2</v>
      </c>
      <c r="E130" s="748" t="str">
        <f>E24</f>
        <v>SE%(TC)</v>
      </c>
      <c r="F130" s="878">
        <f>F24</f>
        <v>0.16666666666666666</v>
      </c>
      <c r="G130" s="697" t="str">
        <f>G24</f>
        <v>TC points/ *BAR measure</v>
      </c>
      <c r="H130" s="697"/>
      <c r="I130" s="706"/>
      <c r="J130" s="697"/>
      <c r="K130" s="697"/>
      <c r="M130" s="484"/>
    </row>
    <row r="131" spans="1:13" ht="13" x14ac:dyDescent="0.3">
      <c r="A131" s="696"/>
      <c r="B131" s="747" t="str">
        <f>B25</f>
        <v># (*BAR)</v>
      </c>
      <c r="C131" s="876">
        <f t="shared" si="37"/>
        <v>215.27777777777777</v>
      </c>
      <c r="D131" s="670">
        <f t="shared" si="37"/>
        <v>1.3631084021929557E-2</v>
      </c>
      <c r="E131" s="709" t="str">
        <f>E25</f>
        <v>SE%(*BAR)</v>
      </c>
      <c r="F131" s="711" t="s">
        <v>3</v>
      </c>
      <c r="G131" s="711" t="s">
        <v>3</v>
      </c>
      <c r="H131" s="711" t="s">
        <v>3</v>
      </c>
      <c r="I131" s="706"/>
      <c r="J131" s="697"/>
      <c r="K131" s="697"/>
      <c r="M131" s="484"/>
    </row>
    <row r="132" spans="1:13" ht="13" x14ac:dyDescent="0.3">
      <c r="A132" s="696"/>
      <c r="B132" s="747" t="s">
        <v>3</v>
      </c>
      <c r="C132" s="750" t="s">
        <v>3</v>
      </c>
      <c r="D132" s="870">
        <f>D26</f>
        <v>0.06</v>
      </c>
      <c r="E132" s="751" t="str">
        <f>E26</f>
        <v>SE%(TOTAL)</v>
      </c>
      <c r="F132" s="711" t="s">
        <v>3</v>
      </c>
      <c r="G132" s="752"/>
      <c r="H132" s="714" t="str">
        <f>H26</f>
        <v>cost / point=</v>
      </c>
      <c r="I132" s="879">
        <f>I26</f>
        <v>18</v>
      </c>
      <c r="J132" s="697"/>
      <c r="K132" s="697"/>
      <c r="M132" s="484"/>
    </row>
    <row r="133" spans="1:13" ht="13" thickBot="1" x14ac:dyDescent="0.3">
      <c r="A133" s="696"/>
      <c r="B133" s="753" t="str">
        <f>B27</f>
        <v>Total cost=</v>
      </c>
      <c r="C133" s="877">
        <f>C27</f>
        <v>645.83333333333326</v>
      </c>
      <c r="D133" s="721" t="s">
        <v>3</v>
      </c>
      <c r="E133" s="754" t="str">
        <f>E27</f>
        <v>Cost Ratio</v>
      </c>
      <c r="F133" s="867">
        <f>F27</f>
        <v>1.7884969973140517</v>
      </c>
      <c r="G133" s="721" t="s">
        <v>95</v>
      </c>
      <c r="H133" s="721"/>
      <c r="I133" s="880">
        <f>I27</f>
        <v>0.55912869940614429</v>
      </c>
      <c r="J133" s="697"/>
      <c r="K133" s="697"/>
      <c r="M133" s="484"/>
    </row>
    <row r="134" spans="1:13" ht="13" thickBot="1" x14ac:dyDescent="0.3">
      <c r="A134" s="696"/>
      <c r="B134" s="697" t="s">
        <v>3</v>
      </c>
      <c r="C134" s="697"/>
      <c r="D134" s="697" t="s">
        <v>3</v>
      </c>
      <c r="E134" s="697"/>
      <c r="F134" s="697" t="s">
        <v>3</v>
      </c>
      <c r="G134" s="697"/>
      <c r="H134" s="697" t="s">
        <v>3</v>
      </c>
      <c r="I134" s="697" t="s">
        <v>3</v>
      </c>
      <c r="J134" s="697" t="s">
        <v>3</v>
      </c>
      <c r="K134" s="697" t="s">
        <v>3</v>
      </c>
      <c r="M134" s="484"/>
    </row>
    <row r="135" spans="1:13" ht="13" x14ac:dyDescent="0.3">
      <c r="A135" s="696">
        <f>A29</f>
        <v>4</v>
      </c>
      <c r="B135" s="730" t="str">
        <f>B29</f>
        <v>Calculation of "Student-t"</v>
      </c>
      <c r="C135" s="755"/>
      <c r="D135" s="755"/>
      <c r="E135" s="755"/>
      <c r="F135" s="756" t="str">
        <f>F29</f>
        <v xml:space="preserve">      Using "t" (C32)</v>
      </c>
      <c r="G135" s="757"/>
      <c r="H135" s="697"/>
      <c r="I135" s="758" t="str">
        <f>I29</f>
        <v xml:space="preserve">  Copied from section 1</v>
      </c>
      <c r="J135" s="746"/>
      <c r="K135" s="759" t="str">
        <f>K29</f>
        <v>n</v>
      </c>
      <c r="M135" s="484"/>
    </row>
    <row r="136" spans="1:13" ht="15.5" x14ac:dyDescent="0.35">
      <c r="A136" s="696"/>
      <c r="B136" s="760" t="str">
        <f t="shared" ref="B136:E137" si="38">B30</f>
        <v xml:space="preserve">  Conf. % =</v>
      </c>
      <c r="C136" s="1167">
        <f t="shared" si="38"/>
        <v>0.75</v>
      </c>
      <c r="D136" s="736" t="str">
        <f t="shared" si="38"/>
        <v xml:space="preserve"> one SE% =</v>
      </c>
      <c r="E136" s="1166">
        <f t="shared" si="38"/>
        <v>0.06</v>
      </c>
      <c r="F136" s="761" t="str">
        <f>F30</f>
        <v>Conf.</v>
      </c>
      <c r="G136" s="762" t="str">
        <f>G30</f>
        <v>(t *  SE%)</v>
      </c>
      <c r="H136" s="697"/>
      <c r="I136" s="763" t="str">
        <f>I30</f>
        <v xml:space="preserve"> one SE%(TC)=</v>
      </c>
      <c r="J136" s="884">
        <f>J30</f>
        <v>5.2028271718295646E-2</v>
      </c>
      <c r="K136" s="874">
        <f>K30</f>
        <v>45.254033012020493</v>
      </c>
      <c r="M136" s="484"/>
    </row>
    <row r="137" spans="1:13" ht="16" thickBot="1" x14ac:dyDescent="0.4">
      <c r="A137" s="696"/>
      <c r="B137" s="717" t="str">
        <f t="shared" si="38"/>
        <v>n =</v>
      </c>
      <c r="C137" s="1168">
        <f t="shared" si="38"/>
        <v>123</v>
      </c>
      <c r="D137" s="736" t="str">
        <f t="shared" si="38"/>
        <v>SE% * t =</v>
      </c>
      <c r="E137" s="670">
        <f t="shared" si="38"/>
        <v>6.9351157864373167E-2</v>
      </c>
      <c r="F137" s="764">
        <f>F31</f>
        <v>0.05</v>
      </c>
      <c r="G137" s="882">
        <f>G31</f>
        <v>3.77015482710734E-3</v>
      </c>
      <c r="H137" s="697"/>
      <c r="I137" s="763" t="str">
        <f>I31</f>
        <v>SE%(*bar)=</v>
      </c>
      <c r="J137" s="884">
        <f>J31</f>
        <v>2.9884091788227353E-2</v>
      </c>
      <c r="K137" s="885">
        <f>K31</f>
        <v>44.789876813839271</v>
      </c>
      <c r="M137" s="484"/>
    </row>
    <row r="138" spans="1:13" ht="13" x14ac:dyDescent="0.3">
      <c r="A138" s="696"/>
      <c r="B138" s="707" t="str">
        <f>B32</f>
        <v>"t" (conf) =</v>
      </c>
      <c r="C138" s="881">
        <f>C32</f>
        <v>1.155852631072886</v>
      </c>
      <c r="D138" s="734"/>
      <c r="E138" s="734"/>
      <c r="F138" s="764">
        <f>F32</f>
        <v>0.5</v>
      </c>
      <c r="G138" s="882">
        <f>G32</f>
        <v>4.0590361791624834E-2</v>
      </c>
      <c r="H138" s="697"/>
      <c r="I138" s="763" t="str">
        <f>I32</f>
        <v>SE%comb=</v>
      </c>
      <c r="J138" s="882">
        <f>J32</f>
        <v>0.06</v>
      </c>
      <c r="K138" s="697"/>
      <c r="M138" s="484"/>
    </row>
    <row r="139" spans="1:13" ht="13.5" thickBot="1" x14ac:dyDescent="0.35">
      <c r="A139" s="696"/>
      <c r="B139" s="765"/>
      <c r="C139" s="754" t="s">
        <v>3</v>
      </c>
      <c r="D139" s="766" t="str">
        <f>D33</f>
        <v>notes and comments</v>
      </c>
      <c r="E139" s="767"/>
      <c r="F139" s="768">
        <f>F33</f>
        <v>0.95</v>
      </c>
      <c r="G139" s="883">
        <f>G33</f>
        <v>0.11877599270919841</v>
      </c>
      <c r="H139" s="697"/>
      <c r="I139" s="769"/>
      <c r="J139" s="723"/>
      <c r="K139" s="697"/>
      <c r="M139" s="484"/>
    </row>
    <row r="140" spans="1:13" ht="13" thickBot="1" x14ac:dyDescent="0.3">
      <c r="A140" s="696"/>
      <c r="B140" s="697"/>
      <c r="C140" s="697"/>
      <c r="D140" s="697"/>
      <c r="E140" s="697"/>
      <c r="F140" s="697"/>
      <c r="G140" s="697"/>
      <c r="H140" s="697"/>
      <c r="I140" s="697"/>
      <c r="J140" s="697"/>
      <c r="K140" s="697"/>
      <c r="M140" s="484"/>
    </row>
    <row r="141" spans="1:13" ht="13.5" thickBot="1" x14ac:dyDescent="0.35">
      <c r="A141" s="696" t="str">
        <f>A35</f>
        <v>5 e</v>
      </c>
      <c r="B141" s="770"/>
      <c r="C141" s="771"/>
      <c r="D141" s="771"/>
      <c r="E141" s="772" t="str">
        <f>E35</f>
        <v>ENGLISH (or "Imperial") UNITS</v>
      </c>
      <c r="F141" s="771"/>
      <c r="G141" s="771"/>
      <c r="H141" s="771"/>
      <c r="I141" s="771"/>
      <c r="J141" s="773"/>
      <c r="K141" s="697"/>
      <c r="M141" s="484"/>
    </row>
    <row r="142" spans="1:13" ht="13.5" thickBot="1" x14ac:dyDescent="0.35">
      <c r="A142" s="696"/>
      <c r="B142" s="774"/>
      <c r="C142" s="771"/>
      <c r="D142" s="771"/>
      <c r="E142" s="771"/>
      <c r="F142" s="775" t="str">
        <f>F36</f>
        <v>Programs to compute BAF and other constants</v>
      </c>
      <c r="G142" s="771"/>
      <c r="H142" s="771" t="str">
        <f>H36</f>
        <v xml:space="preserve"> </v>
      </c>
      <c r="I142" s="771"/>
      <c r="J142" s="776"/>
      <c r="K142" s="697" t="s">
        <v>3</v>
      </c>
      <c r="M142" s="484"/>
    </row>
    <row r="143" spans="1:13" ht="16" thickBot="1" x14ac:dyDescent="0.4">
      <c r="A143" s="696"/>
      <c r="B143" s="777" t="str">
        <f>+B37</f>
        <v xml:space="preserve">  To calibrate an angle gauge</v>
      </c>
      <c r="C143" s="778"/>
      <c r="D143" s="779"/>
      <c r="E143" s="779"/>
      <c r="F143" s="779"/>
      <c r="G143" s="780"/>
      <c r="H143" s="781" t="str">
        <f t="shared" ref="H143:I143" si="39">+H37</f>
        <v xml:space="preserve">     BAF=</v>
      </c>
      <c r="I143" s="1159">
        <f t="shared" si="39"/>
        <v>20</v>
      </c>
      <c r="J143" s="782"/>
      <c r="K143" s="697"/>
      <c r="M143" s="484"/>
    </row>
    <row r="144" spans="1:13" ht="13" x14ac:dyDescent="0.3">
      <c r="A144" s="696"/>
      <c r="B144" s="783"/>
      <c r="C144" s="784" t="str">
        <f t="shared" ref="C144:I148" si="40">+C38</f>
        <v xml:space="preserve">  Width of target =</v>
      </c>
      <c r="D144" s="664">
        <f>+D38</f>
        <v>8.5</v>
      </c>
      <c r="E144" s="665">
        <f t="shared" si="40"/>
        <v>8.5</v>
      </c>
      <c r="F144" s="662">
        <f t="shared" si="40"/>
        <v>8.5</v>
      </c>
      <c r="G144" s="780" t="str">
        <f t="shared" si="40"/>
        <v>inches</v>
      </c>
      <c r="H144" s="785" t="str">
        <f t="shared" si="40"/>
        <v xml:space="preserve"> </v>
      </c>
      <c r="I144" s="697"/>
      <c r="J144" s="786"/>
      <c r="K144" s="697"/>
      <c r="M144" s="484"/>
    </row>
    <row r="145" spans="1:13" ht="13" x14ac:dyDescent="0.3">
      <c r="A145" s="696"/>
      <c r="B145" s="783"/>
      <c r="C145" s="784" t="str">
        <f t="shared" si="40"/>
        <v xml:space="preserve"> Distance to target =</v>
      </c>
      <c r="D145" s="665">
        <f t="shared" si="40"/>
        <v>19</v>
      </c>
      <c r="E145" s="662">
        <f t="shared" si="40"/>
        <v>18.999999999999996</v>
      </c>
      <c r="F145" s="664">
        <f t="shared" si="40"/>
        <v>19</v>
      </c>
      <c r="G145" s="780" t="str">
        <f t="shared" si="40"/>
        <v>feet</v>
      </c>
      <c r="H145" s="785" t="str">
        <f t="shared" si="40"/>
        <v xml:space="preserve"> </v>
      </c>
      <c r="I145" s="697"/>
      <c r="J145" s="786"/>
      <c r="K145" s="697" t="s">
        <v>3</v>
      </c>
      <c r="M145" s="484"/>
    </row>
    <row r="146" spans="1:13" ht="13.5" thickBot="1" x14ac:dyDescent="0.35">
      <c r="A146" s="696"/>
      <c r="B146" s="787"/>
      <c r="C146" s="788" t="str">
        <f t="shared" si="40"/>
        <v xml:space="preserve"> BAF=</v>
      </c>
      <c r="D146" s="663">
        <f t="shared" si="40"/>
        <v>15.135474376731306</v>
      </c>
      <c r="E146" s="666">
        <f t="shared" si="40"/>
        <v>15.135474376731306</v>
      </c>
      <c r="F146" s="667">
        <f t="shared" si="40"/>
        <v>15.135474376731306</v>
      </c>
      <c r="G146" s="860" t="str">
        <f t="shared" si="40"/>
        <v>ft2/ac</v>
      </c>
      <c r="H146" s="785"/>
      <c r="I146" s="697"/>
      <c r="J146" s="789"/>
      <c r="K146" s="697"/>
      <c r="M146" s="484"/>
    </row>
    <row r="147" spans="1:13" ht="15.5" x14ac:dyDescent="0.35">
      <c r="A147" s="696"/>
      <c r="B147" s="790"/>
      <c r="C147" s="784" t="str">
        <f t="shared" si="40"/>
        <v xml:space="preserve">Enter 1 if target is flat </v>
      </c>
      <c r="D147" s="1204">
        <f t="shared" si="40"/>
        <v>0</v>
      </c>
      <c r="E147" s="791"/>
      <c r="F147" s="792"/>
      <c r="G147" s="793" t="str">
        <f t="shared" si="40"/>
        <v>Plot Radius Factor, ctr :</v>
      </c>
      <c r="H147" s="660">
        <f t="shared" si="40"/>
        <v>1.9445436482630056</v>
      </c>
      <c r="I147" s="697" t="str">
        <f t="shared" si="40"/>
        <v>ft. per inch Diameter</v>
      </c>
      <c r="J147" s="706"/>
      <c r="K147" s="697"/>
      <c r="M147" s="484"/>
    </row>
    <row r="148" spans="1:13" ht="13.5" thickBot="1" x14ac:dyDescent="0.35">
      <c r="A148" s="696"/>
      <c r="B148" s="794"/>
      <c r="C148" s="795" t="str">
        <f t="shared" si="40"/>
        <v>or 0 if target is cylinder</v>
      </c>
      <c r="D148" s="796"/>
      <c r="E148" s="797"/>
      <c r="F148" s="798"/>
      <c r="G148" s="799" t="str">
        <f t="shared" si="40"/>
        <v>Plot Radius Factor, face :</v>
      </c>
      <c r="H148" s="661">
        <f t="shared" si="40"/>
        <v>1.9028769815963389</v>
      </c>
      <c r="I148" s="721" t="str">
        <f t="shared" si="40"/>
        <v>ft. per inch Diameter</v>
      </c>
      <c r="J148" s="723"/>
      <c r="K148" s="697"/>
      <c r="M148" s="484"/>
    </row>
    <row r="149" spans="1:13" ht="14" thickTop="1" thickBot="1" x14ac:dyDescent="0.35">
      <c r="A149" s="696"/>
      <c r="B149" s="785" t="str">
        <f t="shared" ref="B149:I151" si="41">+B43</f>
        <v>Enter PRF</v>
      </c>
      <c r="C149" s="800">
        <f t="shared" si="41"/>
        <v>1.9</v>
      </c>
      <c r="D149" s="801" t="str">
        <f t="shared" si="41"/>
        <v>IF PRFctr</v>
      </c>
      <c r="E149" s="801" t="str">
        <f t="shared" si="41"/>
        <v>IF PRFface</v>
      </c>
      <c r="F149" s="802"/>
      <c r="G149" s="803" t="str">
        <f t="shared" si="41"/>
        <v xml:space="preserve">Enter Diameter =  </v>
      </c>
      <c r="H149" s="804">
        <f t="shared" si="41"/>
        <v>24</v>
      </c>
      <c r="I149" s="805" t="str">
        <f t="shared" si="41"/>
        <v xml:space="preserve">   Inches</v>
      </c>
      <c r="J149" s="706"/>
      <c r="K149" s="697"/>
      <c r="M149" s="484"/>
    </row>
    <row r="150" spans="1:13" ht="13.5" thickBot="1" x14ac:dyDescent="0.35">
      <c r="A150" s="696"/>
      <c r="B150" s="806" t="str">
        <f t="shared" si="41"/>
        <v xml:space="preserve">   calculate ==&gt;</v>
      </c>
      <c r="C150" s="807" t="str">
        <f t="shared" si="41"/>
        <v>BAF English</v>
      </c>
      <c r="D150" s="657">
        <f t="shared" si="41"/>
        <v>20.948753462603882</v>
      </c>
      <c r="E150" s="1266">
        <f t="shared" si="41"/>
        <v>20.059312199524765</v>
      </c>
      <c r="F150" s="808" t="str">
        <f t="shared" si="41"/>
        <v xml:space="preserve"> borderline at</v>
      </c>
      <c r="G150" s="658">
        <f t="shared" si="41"/>
        <v>46.669047558312137</v>
      </c>
      <c r="H150" s="778" t="str">
        <f t="shared" si="41"/>
        <v xml:space="preserve"> feet, from tree center</v>
      </c>
      <c r="I150" s="697"/>
      <c r="J150" s="706"/>
      <c r="K150" s="697"/>
      <c r="M150" s="484"/>
    </row>
    <row r="151" spans="1:13" ht="13.5" thickBot="1" x14ac:dyDescent="0.35">
      <c r="A151" s="696"/>
      <c r="B151" s="809" t="str">
        <f>K41</f>
        <v xml:space="preserve"> x*y etc A</v>
      </c>
      <c r="C151" s="697" t="str">
        <f t="shared" si="41"/>
        <v xml:space="preserve"> </v>
      </c>
      <c r="D151" s="1267">
        <f>+D45</f>
        <v>1.0474376731301942</v>
      </c>
      <c r="E151" s="1268">
        <f>+E45</f>
        <v>0.99704315886134076</v>
      </c>
      <c r="F151" s="810" t="str">
        <f t="shared" si="41"/>
        <v xml:space="preserve"> borderline at</v>
      </c>
      <c r="G151" s="659">
        <f t="shared" si="41"/>
        <v>45.669047558312137</v>
      </c>
      <c r="H151" s="811" t="str">
        <f t="shared" si="41"/>
        <v xml:space="preserve"> feet, from tree face</v>
      </c>
      <c r="I151" s="721"/>
      <c r="J151" s="723"/>
      <c r="K151" s="697"/>
      <c r="M151" s="484"/>
    </row>
    <row r="152" spans="1:13" x14ac:dyDescent="0.25">
      <c r="A152" s="696"/>
      <c r="B152" s="809" t="str">
        <f>K42</f>
        <v xml:space="preserve"> x*y etc B</v>
      </c>
      <c r="C152" s="697"/>
      <c r="D152" s="697"/>
      <c r="E152" s="697"/>
      <c r="F152" s="697"/>
      <c r="G152" s="697"/>
      <c r="H152" s="697"/>
      <c r="I152" s="697"/>
      <c r="J152" s="697"/>
      <c r="K152" s="697"/>
      <c r="M152" s="484"/>
    </row>
    <row r="153" spans="1:13" ht="13" thickBot="1" x14ac:dyDescent="0.3">
      <c r="A153" s="697"/>
      <c r="B153" s="697"/>
      <c r="C153" s="697"/>
      <c r="D153" s="697"/>
      <c r="E153" s="697"/>
      <c r="F153" s="697"/>
      <c r="G153" s="697"/>
      <c r="H153" s="697"/>
      <c r="I153" s="697"/>
      <c r="J153" s="697"/>
      <c r="K153" s="697"/>
      <c r="M153" s="484"/>
    </row>
    <row r="154" spans="1:13" ht="13.5" thickBot="1" x14ac:dyDescent="0.35">
      <c r="A154" s="696" t="str">
        <f>+A47</f>
        <v>5 m</v>
      </c>
      <c r="B154" s="770"/>
      <c r="C154" s="771"/>
      <c r="D154" s="771"/>
      <c r="E154" s="772" t="str">
        <f>+E47</f>
        <v>METRIC UNITS</v>
      </c>
      <c r="F154" s="771"/>
      <c r="G154" s="771"/>
      <c r="H154" s="771"/>
      <c r="I154" s="771"/>
      <c r="J154" s="773"/>
      <c r="K154" s="697"/>
      <c r="M154" s="484"/>
    </row>
    <row r="155" spans="1:13" ht="13.5" thickBot="1" x14ac:dyDescent="0.35">
      <c r="A155" s="696"/>
      <c r="B155" s="774"/>
      <c r="C155" s="771" t="str">
        <f>+C48</f>
        <v xml:space="preserve">      Programs to compute BAF and other constants</v>
      </c>
      <c r="D155" s="771"/>
      <c r="E155" s="771"/>
      <c r="F155" s="775"/>
      <c r="G155" s="771"/>
      <c r="H155" s="771"/>
      <c r="I155" s="771"/>
      <c r="J155" s="776"/>
      <c r="K155" s="697"/>
      <c r="M155" s="484"/>
    </row>
    <row r="156" spans="1:13" ht="16" thickBot="1" x14ac:dyDescent="0.4">
      <c r="A156" s="696"/>
      <c r="B156" s="777" t="s">
        <v>157</v>
      </c>
      <c r="C156" s="778"/>
      <c r="D156" s="779"/>
      <c r="E156" s="779"/>
      <c r="F156" s="779"/>
      <c r="G156" s="780"/>
      <c r="H156" s="781" t="str">
        <f t="shared" ref="H156:J156" si="42">+H49</f>
        <v xml:space="preserve">     BAF=</v>
      </c>
      <c r="I156" s="1159">
        <f t="shared" si="42"/>
        <v>4.5913682277318646</v>
      </c>
      <c r="J156" s="782" t="str">
        <f t="shared" si="42"/>
        <v>m2/ha</v>
      </c>
      <c r="K156" s="697"/>
      <c r="M156" s="484"/>
    </row>
    <row r="157" spans="1:13" ht="13" x14ac:dyDescent="0.3">
      <c r="A157" s="696"/>
      <c r="B157" s="783"/>
      <c r="C157" s="784" t="str">
        <f t="shared" ref="C157:I161" si="43">+C50</f>
        <v xml:space="preserve">  Width of target =</v>
      </c>
      <c r="D157" s="665">
        <f>+D50</f>
        <v>21.59</v>
      </c>
      <c r="E157" s="665">
        <f t="shared" ref="E157:G157" si="44">+E50</f>
        <v>7</v>
      </c>
      <c r="F157" s="662">
        <f t="shared" si="44"/>
        <v>8.1575800404122525</v>
      </c>
      <c r="G157" s="780" t="str">
        <f t="shared" si="44"/>
        <v>centimeters</v>
      </c>
      <c r="H157" s="785"/>
      <c r="I157" s="697"/>
      <c r="J157" s="786"/>
      <c r="K157" s="697"/>
      <c r="M157" s="484"/>
    </row>
    <row r="158" spans="1:13" ht="13" x14ac:dyDescent="0.3">
      <c r="A158" s="696"/>
      <c r="B158" s="783"/>
      <c r="C158" s="784" t="str">
        <f t="shared" si="43"/>
        <v xml:space="preserve"> Distance to target =</v>
      </c>
      <c r="D158" s="665">
        <f t="shared" si="43"/>
        <v>5.7575757575757578</v>
      </c>
      <c r="E158" s="662">
        <f t="shared" si="43"/>
        <v>0.51485857070275809</v>
      </c>
      <c r="F158" s="665">
        <f t="shared" si="43"/>
        <v>0.6</v>
      </c>
      <c r="G158" s="780" t="str">
        <f t="shared" si="43"/>
        <v>meters</v>
      </c>
      <c r="H158" s="785"/>
      <c r="I158" s="697"/>
      <c r="J158" s="786"/>
      <c r="K158" s="697"/>
      <c r="M158" s="484"/>
    </row>
    <row r="159" spans="1:13" ht="13.5" thickBot="1" x14ac:dyDescent="0.35">
      <c r="A159" s="696"/>
      <c r="B159" s="787"/>
      <c r="C159" s="788" t="str">
        <f t="shared" si="43"/>
        <v xml:space="preserve"> BAF=</v>
      </c>
      <c r="D159" s="663">
        <f t="shared" si="43"/>
        <v>3.5153289536011076</v>
      </c>
      <c r="E159" s="666">
        <f t="shared" si="43"/>
        <v>46</v>
      </c>
      <c r="F159" s="666">
        <f t="shared" si="43"/>
        <v>46</v>
      </c>
      <c r="G159" s="860" t="str">
        <f t="shared" si="43"/>
        <v>ft2/ac</v>
      </c>
      <c r="H159" s="785"/>
      <c r="I159" s="697"/>
      <c r="J159" s="789"/>
      <c r="K159" s="697"/>
      <c r="M159" s="484"/>
    </row>
    <row r="160" spans="1:13" ht="13" x14ac:dyDescent="0.3">
      <c r="A160" s="696"/>
      <c r="B160" s="790"/>
      <c r="C160" s="784" t="str">
        <f t="shared" si="43"/>
        <v>Enter 1 if target is flat</v>
      </c>
      <c r="D160" s="850">
        <f t="shared" si="43"/>
        <v>0</v>
      </c>
      <c r="E160" s="791" t="s">
        <v>3</v>
      </c>
      <c r="F160" s="792"/>
      <c r="G160" s="793" t="str">
        <f t="shared" si="43"/>
        <v>Plot Radius Factor, ctr :</v>
      </c>
      <c r="H160" s="861">
        <f t="shared" si="43"/>
        <v>0.23334523779156066</v>
      </c>
      <c r="I160" s="697" t="str">
        <f t="shared" si="43"/>
        <v>m per cm Diameter</v>
      </c>
      <c r="J160" s="706"/>
      <c r="K160" s="697"/>
      <c r="M160" s="484"/>
    </row>
    <row r="161" spans="1:13" ht="13.5" thickBot="1" x14ac:dyDescent="0.35">
      <c r="A161" s="696"/>
      <c r="B161" s="794"/>
      <c r="C161" s="795" t="str">
        <f t="shared" si="43"/>
        <v>or 0 if target is cylinder</v>
      </c>
      <c r="D161" s="796" t="s">
        <v>3</v>
      </c>
      <c r="E161" s="797" t="s">
        <v>3</v>
      </c>
      <c r="F161" s="798"/>
      <c r="G161" s="799" t="str">
        <f t="shared" si="43"/>
        <v>Plot Radius Factor, face :</v>
      </c>
      <c r="H161" s="862">
        <f t="shared" si="43"/>
        <v>0.22834523779156066</v>
      </c>
      <c r="I161" s="721" t="str">
        <f t="shared" si="43"/>
        <v>m per cm Diameter</v>
      </c>
      <c r="J161" s="723"/>
      <c r="K161" s="697"/>
      <c r="M161" s="484"/>
    </row>
    <row r="162" spans="1:13" ht="16.5" thickTop="1" thickBot="1" x14ac:dyDescent="0.4">
      <c r="A162" s="696"/>
      <c r="B162" s="785" t="str">
        <f t="shared" ref="B162:I164" si="45">+B55</f>
        <v>Enter PRF</v>
      </c>
      <c r="C162" s="1158">
        <f t="shared" si="45"/>
        <v>0.23</v>
      </c>
      <c r="D162" s="801" t="str">
        <f t="shared" si="45"/>
        <v>if PRFctr</v>
      </c>
      <c r="E162" s="801" t="str">
        <f t="shared" si="45"/>
        <v>if PRFface</v>
      </c>
      <c r="F162" s="802"/>
      <c r="G162" s="803" t="str">
        <f t="shared" si="45"/>
        <v xml:space="preserve">Enter Diameter =  </v>
      </c>
      <c r="H162" s="1157">
        <f t="shared" si="45"/>
        <v>60.96</v>
      </c>
      <c r="I162" s="805" t="str">
        <f t="shared" si="45"/>
        <v xml:space="preserve">   cm</v>
      </c>
      <c r="J162" s="706"/>
      <c r="K162" s="697"/>
      <c r="M162" s="484"/>
    </row>
    <row r="163" spans="1:13" ht="13.5" thickBot="1" x14ac:dyDescent="0.35">
      <c r="A163" s="696"/>
      <c r="B163" s="806" t="str">
        <f t="shared" si="45"/>
        <v xml:space="preserve">   calculate ==&gt;</v>
      </c>
      <c r="C163" s="807" t="str">
        <f t="shared" si="45"/>
        <v>BAF Metric</v>
      </c>
      <c r="D163" s="657">
        <f t="shared" si="45"/>
        <v>4.7258979206049148</v>
      </c>
      <c r="E163" s="1266">
        <f t="shared" si="45"/>
        <v>4.5269352648257133</v>
      </c>
      <c r="F163" s="808" t="str">
        <f t="shared" si="45"/>
        <v xml:space="preserve"> borderline at</v>
      </c>
      <c r="G163" s="658">
        <f t="shared" si="45"/>
        <v>14.224725695773538</v>
      </c>
      <c r="H163" s="778" t="str">
        <f t="shared" si="45"/>
        <v>meters from tree center</v>
      </c>
      <c r="I163" s="697"/>
      <c r="J163" s="706"/>
      <c r="K163" s="697"/>
      <c r="M163" s="484"/>
    </row>
    <row r="164" spans="1:13" ht="13.5" thickBot="1" x14ac:dyDescent="0.35">
      <c r="A164" s="696"/>
      <c r="B164" s="812" t="str">
        <f>+K53</f>
        <v xml:space="preserve"> x*y etc C</v>
      </c>
      <c r="C164" s="697" t="s">
        <v>3</v>
      </c>
      <c r="D164" s="1267">
        <f t="shared" si="45"/>
        <v>1.0293005671077504</v>
      </c>
      <c r="E164" s="1268">
        <f t="shared" si="45"/>
        <v>1.0142332415059687</v>
      </c>
      <c r="F164" s="810" t="str">
        <f t="shared" si="45"/>
        <v xml:space="preserve"> borderline at</v>
      </c>
      <c r="G164" s="659">
        <f t="shared" si="45"/>
        <v>13.919925695773538</v>
      </c>
      <c r="H164" s="811" t="str">
        <f t="shared" si="45"/>
        <v>meters from tree face</v>
      </c>
      <c r="I164" s="721"/>
      <c r="J164" s="723"/>
      <c r="K164" s="697"/>
      <c r="M164" s="484"/>
    </row>
    <row r="165" spans="1:13" x14ac:dyDescent="0.25">
      <c r="A165" s="696"/>
      <c r="B165" s="809" t="str">
        <f>+K54</f>
        <v xml:space="preserve"> x*y etc D</v>
      </c>
      <c r="C165" s="697"/>
      <c r="D165" s="697"/>
      <c r="E165" s="697"/>
      <c r="F165" s="697"/>
      <c r="G165" s="697"/>
      <c r="H165" s="697"/>
      <c r="I165" s="697"/>
      <c r="J165" s="697"/>
      <c r="K165" s="697"/>
      <c r="M165" s="484"/>
    </row>
    <row r="166" spans="1:13" ht="13" thickBot="1" x14ac:dyDescent="0.3">
      <c r="A166" s="696"/>
      <c r="B166" s="697"/>
      <c r="C166" s="697"/>
      <c r="D166" s="697"/>
      <c r="E166" s="697"/>
      <c r="F166" s="697"/>
      <c r="G166" s="697"/>
      <c r="H166" s="697"/>
      <c r="I166" s="697"/>
      <c r="J166" s="697"/>
      <c r="K166" s="697"/>
      <c r="M166" s="484"/>
    </row>
    <row r="167" spans="1:13" ht="13.5" thickBot="1" x14ac:dyDescent="0.35">
      <c r="A167" s="696" t="str">
        <f>A60</f>
        <v>6 e</v>
      </c>
      <c r="B167" s="813"/>
      <c r="C167" s="814"/>
      <c r="D167" s="814" t="s">
        <v>224</v>
      </c>
      <c r="E167" s="771"/>
      <c r="F167" s="814"/>
      <c r="G167" s="815" t="s">
        <v>111</v>
      </c>
      <c r="H167" s="815"/>
      <c r="I167" s="815"/>
      <c r="J167" s="816"/>
      <c r="K167" s="697"/>
      <c r="M167" s="484"/>
    </row>
    <row r="168" spans="1:13" ht="13.5" thickBot="1" x14ac:dyDescent="0.35">
      <c r="A168" s="696"/>
      <c r="B168" s="851" t="str">
        <f>B61</f>
        <v>---- Program to compute equivalent plot size with prism (from tree center) -----</v>
      </c>
      <c r="C168" s="721"/>
      <c r="D168" s="721"/>
      <c r="E168" s="721"/>
      <c r="F168" s="721"/>
      <c r="G168" s="721"/>
      <c r="H168" s="721"/>
      <c r="I168" s="852" t="s">
        <v>3</v>
      </c>
      <c r="J168" s="723"/>
      <c r="K168" s="697"/>
      <c r="M168" s="484"/>
    </row>
    <row r="169" spans="1:13" ht="16" thickBot="1" x14ac:dyDescent="0.4">
      <c r="A169" s="696"/>
      <c r="B169" s="747" t="str">
        <f>B62</f>
        <v>Using BAFe</v>
      </c>
      <c r="C169" s="1161">
        <f>C62</f>
        <v>20</v>
      </c>
      <c r="D169" s="854" t="str">
        <f>D62</f>
        <v xml:space="preserve"> DBH of :</v>
      </c>
      <c r="E169" s="1160">
        <f>E62</f>
        <v>24</v>
      </c>
      <c r="F169" s="855" t="str">
        <f>F62</f>
        <v>inches</v>
      </c>
      <c r="G169" s="856" t="str">
        <f>G62</f>
        <v xml:space="preserve"> </v>
      </c>
      <c r="H169" s="697"/>
      <c r="I169" s="697"/>
      <c r="J169" s="706"/>
      <c r="K169" s="697"/>
      <c r="M169" s="484"/>
    </row>
    <row r="170" spans="1:13" ht="13.5" thickBot="1" x14ac:dyDescent="0.35">
      <c r="A170" s="696"/>
      <c r="B170" s="853" t="s">
        <v>3</v>
      </c>
      <c r="C170" s="817" t="s">
        <v>3</v>
      </c>
      <c r="D170" s="857" t="str">
        <f>D63</f>
        <v>trees/acre</v>
      </c>
      <c r="E170" s="858">
        <f t="shared" ref="E170" si="46">E62</f>
        <v>24</v>
      </c>
      <c r="F170" s="796" t="s">
        <v>3</v>
      </c>
      <c r="G170" s="796" t="s">
        <v>3</v>
      </c>
      <c r="H170" s="849">
        <f>H63</f>
        <v>0.15707949999999998</v>
      </c>
      <c r="I170" s="697" t="str">
        <f>I63</f>
        <v>tree circle, acres</v>
      </c>
      <c r="J170" s="706"/>
      <c r="K170" s="697"/>
      <c r="M170" s="484"/>
    </row>
    <row r="171" spans="1:13" ht="14" thickTop="1" thickBot="1" x14ac:dyDescent="0.35">
      <c r="A171" s="696"/>
      <c r="B171" s="747"/>
      <c r="C171" s="697"/>
      <c r="D171" s="697"/>
      <c r="E171" s="741" t="str">
        <f>E64</f>
        <v xml:space="preserve">  Plot Radius Factor : Face vs. Center of tree</v>
      </c>
      <c r="F171" s="819" t="s">
        <v>170</v>
      </c>
      <c r="G171" s="752"/>
      <c r="H171" s="785" t="s">
        <v>3</v>
      </c>
      <c r="I171" s="697"/>
      <c r="J171" s="706"/>
      <c r="K171" s="697"/>
      <c r="M171" s="484"/>
    </row>
    <row r="172" spans="1:13" ht="13.5" thickBot="1" x14ac:dyDescent="0.35">
      <c r="A172" s="696"/>
      <c r="B172" s="713"/>
      <c r="C172" s="714" t="str">
        <f>C65</f>
        <v>Blow-up Factor(english)</v>
      </c>
      <c r="D172" s="840">
        <f>D65</f>
        <v>2178</v>
      </c>
      <c r="E172" s="714" t="str">
        <f>E65</f>
        <v>PRF,ctr =</v>
      </c>
      <c r="F172" s="839">
        <f t="shared" ref="F172:I173" si="47">F65</f>
        <v>1.9445436482630056</v>
      </c>
      <c r="G172" s="820" t="str">
        <f t="shared" si="47"/>
        <v>ft/inch     ==&gt;</v>
      </c>
      <c r="H172" s="859">
        <f t="shared" si="47"/>
        <v>46.669047558312137</v>
      </c>
      <c r="I172" s="697" t="str">
        <f t="shared" si="47"/>
        <v>feet from center</v>
      </c>
      <c r="J172" s="706"/>
      <c r="K172" s="697"/>
      <c r="M172" s="484"/>
    </row>
    <row r="173" spans="1:13" ht="13.5" thickBot="1" x14ac:dyDescent="0.35">
      <c r="A173" s="696"/>
      <c r="B173" s="821" t="str">
        <f>B66</f>
        <v>angle =</v>
      </c>
      <c r="C173" s="841">
        <f>C66</f>
        <v>2.4555960685207117</v>
      </c>
      <c r="D173" s="822" t="str">
        <f>D66</f>
        <v>degrees</v>
      </c>
      <c r="E173" s="823" t="str">
        <f>E66</f>
        <v>PRF,face =</v>
      </c>
      <c r="F173" s="842">
        <f t="shared" si="47"/>
        <v>1.9028769815963389</v>
      </c>
      <c r="G173" s="824" t="str">
        <f t="shared" si="47"/>
        <v>ft/inch     ==&gt;</v>
      </c>
      <c r="H173" s="859">
        <f t="shared" si="47"/>
        <v>45.66904755831213</v>
      </c>
      <c r="I173" s="721" t="str">
        <f t="shared" si="47"/>
        <v>feet from face</v>
      </c>
      <c r="J173" s="723"/>
      <c r="K173" s="697"/>
      <c r="M173" s="484"/>
    </row>
    <row r="174" spans="1:13" x14ac:dyDescent="0.25">
      <c r="A174" s="696"/>
      <c r="B174" s="809" t="str">
        <f>K64</f>
        <v xml:space="preserve"> x*y etc E</v>
      </c>
      <c r="C174" s="697"/>
      <c r="D174" s="697"/>
      <c r="E174" s="697"/>
      <c r="F174" s="697"/>
      <c r="G174" s="697"/>
      <c r="H174" s="697"/>
      <c r="I174" s="697"/>
      <c r="J174" s="697"/>
      <c r="K174" s="697"/>
      <c r="M174" s="484"/>
    </row>
    <row r="175" spans="1:13" ht="13" thickBot="1" x14ac:dyDescent="0.3">
      <c r="A175" s="696"/>
      <c r="B175" s="697"/>
      <c r="C175" s="697"/>
      <c r="D175" s="697"/>
      <c r="E175" s="697"/>
      <c r="F175" s="697"/>
      <c r="G175" s="697"/>
      <c r="H175" s="697"/>
      <c r="I175" s="697"/>
      <c r="J175" s="697"/>
      <c r="K175" s="697"/>
      <c r="M175" s="484"/>
    </row>
    <row r="176" spans="1:13" ht="13.5" thickBot="1" x14ac:dyDescent="0.35">
      <c r="A176" s="696" t="str">
        <f>+A68</f>
        <v>6 m</v>
      </c>
      <c r="B176" s="825"/>
      <c r="C176" s="826"/>
      <c r="D176" s="826"/>
      <c r="E176" s="827" t="s">
        <v>225</v>
      </c>
      <c r="F176" s="826"/>
      <c r="G176" s="826" t="s">
        <v>254</v>
      </c>
      <c r="H176" s="826"/>
      <c r="I176" s="826"/>
      <c r="J176" s="828"/>
      <c r="K176" s="697"/>
      <c r="M176" s="484"/>
    </row>
    <row r="177" spans="1:13" ht="16" thickBot="1" x14ac:dyDescent="0.4">
      <c r="A177" s="696"/>
      <c r="B177" s="829" t="str">
        <f>B69</f>
        <v>Using BAFm</v>
      </c>
      <c r="C177" s="1161">
        <v>4.5</v>
      </c>
      <c r="D177" s="891" t="str">
        <f>D169</f>
        <v xml:space="preserve"> DBH of :</v>
      </c>
      <c r="E177" s="1162">
        <f>E69</f>
        <v>60.96</v>
      </c>
      <c r="F177" s="886" t="str">
        <f>F69</f>
        <v>cm</v>
      </c>
      <c r="G177" s="886" t="str">
        <f t="shared" ref="G177:I178" si="48">G69</f>
        <v xml:space="preserve"> </v>
      </c>
      <c r="H177" s="846">
        <f t="shared" si="48"/>
        <v>635.67818340238068</v>
      </c>
      <c r="I177" s="830" t="str">
        <f t="shared" si="48"/>
        <v>tree circle, sq meters</v>
      </c>
      <c r="J177" s="831"/>
      <c r="K177" s="697"/>
      <c r="M177" s="484"/>
    </row>
    <row r="178" spans="1:13" ht="13.5" thickBot="1" x14ac:dyDescent="0.35">
      <c r="A178" s="696"/>
      <c r="B178" s="704" t="s">
        <v>3</v>
      </c>
      <c r="C178" s="817" t="s">
        <v>3</v>
      </c>
      <c r="D178" s="857" t="str">
        <f t="shared" ref="D178:F181" si="49">D70</f>
        <v>trees/ha =</v>
      </c>
      <c r="E178" s="858">
        <f t="shared" si="49"/>
        <v>15.731230457645037</v>
      </c>
      <c r="F178" s="892" t="str">
        <f t="shared" si="49"/>
        <v xml:space="preserve"> </v>
      </c>
      <c r="G178" s="893" t="str">
        <f t="shared" si="48"/>
        <v>or</v>
      </c>
      <c r="H178" s="890">
        <f t="shared" si="48"/>
        <v>6.3567818340238072E-2</v>
      </c>
      <c r="I178" s="830" t="str">
        <f t="shared" si="48"/>
        <v>tree circle, hectares</v>
      </c>
      <c r="J178" s="831"/>
      <c r="K178" s="697"/>
      <c r="M178" s="484"/>
    </row>
    <row r="179" spans="1:13" ht="13.5" thickTop="1" x14ac:dyDescent="0.3">
      <c r="A179" s="696"/>
      <c r="B179" s="704"/>
      <c r="C179" s="830"/>
      <c r="D179" s="830"/>
      <c r="E179" s="736" t="str">
        <f t="shared" si="49"/>
        <v xml:space="preserve">  Plot Radius Factor : Face vs. Center of tree</v>
      </c>
      <c r="F179" s="832" t="str">
        <f>F71</f>
        <v>Metric</v>
      </c>
      <c r="G179" s="830" t="s">
        <v>3</v>
      </c>
      <c r="H179" s="887"/>
      <c r="I179" s="830"/>
      <c r="J179" s="831"/>
      <c r="K179" s="697"/>
      <c r="M179" s="484"/>
    </row>
    <row r="180" spans="1:13" ht="13" x14ac:dyDescent="0.3">
      <c r="A180" s="696"/>
      <c r="B180" s="833"/>
      <c r="C180" s="818" t="str">
        <f>C72</f>
        <v>Blow-up Factor (metric)</v>
      </c>
      <c r="D180" s="749">
        <f>D72</f>
        <v>2177.9999999999995</v>
      </c>
      <c r="E180" s="818" t="str">
        <f t="shared" si="49"/>
        <v>PRF, ctr =</v>
      </c>
      <c r="F180" s="844">
        <f>F72</f>
        <v>0.23334523779156066</v>
      </c>
      <c r="G180" s="820" t="str">
        <f>G72</f>
        <v xml:space="preserve"> m/cm     ==&gt;</v>
      </c>
      <c r="H180" s="888">
        <f>H72</f>
        <v>14.224725695773538</v>
      </c>
      <c r="I180" s="728" t="str">
        <f>I72</f>
        <v>meters from center</v>
      </c>
      <c r="J180" s="831"/>
      <c r="K180" s="697"/>
      <c r="M180" s="484"/>
    </row>
    <row r="181" spans="1:13" ht="13.5" thickBot="1" x14ac:dyDescent="0.35">
      <c r="A181" s="696"/>
      <c r="B181" s="834" t="str">
        <f>B73</f>
        <v>angle =</v>
      </c>
      <c r="C181" s="843">
        <f>C73</f>
        <v>2.4555960685207121</v>
      </c>
      <c r="D181" s="835" t="str">
        <f>D73</f>
        <v>degrees</v>
      </c>
      <c r="E181" s="836" t="str">
        <f t="shared" si="49"/>
        <v>PRF, face =</v>
      </c>
      <c r="F181" s="845">
        <f>F73</f>
        <v>0.22834523779156066</v>
      </c>
      <c r="G181" s="824" t="s">
        <v>288</v>
      </c>
      <c r="H181" s="889">
        <f>H73</f>
        <v>13.919925695773538</v>
      </c>
      <c r="I181" s="837" t="str">
        <f>I73</f>
        <v>meters from face</v>
      </c>
      <c r="J181" s="838"/>
      <c r="K181" s="752"/>
      <c r="M181" s="484"/>
    </row>
    <row r="182" spans="1:13" x14ac:dyDescent="0.25">
      <c r="A182" s="696"/>
      <c r="B182" s="809" t="str">
        <f>K71</f>
        <v xml:space="preserve"> x*y etc F</v>
      </c>
      <c r="C182" s="697"/>
      <c r="D182" s="697"/>
      <c r="E182" s="697"/>
      <c r="F182" s="697"/>
      <c r="G182" s="697"/>
      <c r="H182" s="697"/>
      <c r="I182" s="697"/>
      <c r="J182" s="697"/>
      <c r="K182" s="697"/>
      <c r="M182" s="484"/>
    </row>
    <row r="183" spans="1:13" ht="13" thickBot="1" x14ac:dyDescent="0.3">
      <c r="A183" s="696"/>
      <c r="B183" s="697"/>
      <c r="C183" s="697"/>
      <c r="D183" s="697"/>
      <c r="E183" s="697"/>
      <c r="F183" s="697"/>
      <c r="G183" s="697"/>
      <c r="H183" s="697"/>
      <c r="I183" s="697"/>
      <c r="J183" s="697"/>
      <c r="K183" s="697"/>
      <c r="M183" s="484"/>
    </row>
    <row r="184" spans="1:13" ht="13" x14ac:dyDescent="0.3">
      <c r="A184" s="449">
        <f>A76</f>
        <v>7</v>
      </c>
      <c r="B184" s="311" t="str">
        <f>B76</f>
        <v xml:space="preserve">ROUGH Calculation if CV *BAR not available, but you have (SE% overall) </v>
      </c>
      <c r="C184" s="240"/>
      <c r="D184" s="240"/>
      <c r="E184" s="240"/>
      <c r="F184" s="240"/>
      <c r="G184" s="240"/>
      <c r="H184" s="312"/>
      <c r="M184" s="484"/>
    </row>
    <row r="185" spans="1:13" ht="13.5" thickBot="1" x14ac:dyDescent="0.35">
      <c r="B185" s="317" t="s">
        <v>3</v>
      </c>
      <c r="C185" s="28"/>
      <c r="D185" s="28"/>
      <c r="E185" s="28"/>
      <c r="F185" s="28"/>
      <c r="G185" s="28" t="str">
        <f>G77</f>
        <v>(Implied)</v>
      </c>
      <c r="H185" s="313"/>
      <c r="M185" s="484"/>
    </row>
    <row r="186" spans="1:13" ht="14.25" customHeight="1" thickBot="1" x14ac:dyDescent="0.35">
      <c r="B186" s="377" t="str">
        <f t="shared" ref="B186:G187" si="50">B78</f>
        <v>SE%,BA =</v>
      </c>
      <c r="C186" s="552">
        <f t="shared" si="50"/>
        <v>5.5339859052946631E-2</v>
      </c>
      <c r="D186" s="241" t="str">
        <f t="shared" si="50"/>
        <v>#  points</v>
      </c>
      <c r="E186" s="547">
        <f t="shared" si="50"/>
        <v>40</v>
      </c>
      <c r="F186" s="241" t="str">
        <f t="shared" si="50"/>
        <v xml:space="preserve"> CV, BA</v>
      </c>
      <c r="G186" s="380">
        <f t="shared" si="50"/>
        <v>0.35</v>
      </c>
      <c r="H186" s="313" t="s">
        <v>81</v>
      </c>
      <c r="M186" s="484"/>
    </row>
    <row r="187" spans="1:13" ht="16" thickBot="1" x14ac:dyDescent="0.4">
      <c r="B187" s="377" t="str">
        <f t="shared" si="50"/>
        <v>SE%,*BAR =</v>
      </c>
      <c r="C187" s="381">
        <f t="shared" si="50"/>
        <v>2.2360679774997907E-2</v>
      </c>
      <c r="D187" s="241" t="str">
        <f t="shared" si="50"/>
        <v># *BARs</v>
      </c>
      <c r="E187" s="1163">
        <f t="shared" si="50"/>
        <v>80</v>
      </c>
      <c r="F187" s="237" t="str">
        <f t="shared" si="50"/>
        <v>CV, *BAR</v>
      </c>
      <c r="G187" s="379">
        <f t="shared" si="50"/>
        <v>0.20000000000000009</v>
      </c>
      <c r="H187" s="313" t="s">
        <v>81</v>
      </c>
      <c r="M187" s="484"/>
    </row>
    <row r="188" spans="1:13" ht="13" thickBot="1" x14ac:dyDescent="0.3">
      <c r="B188" s="378" t="str">
        <f>B80</f>
        <v>SE%,Total =</v>
      </c>
      <c r="C188" s="384">
        <f>C80</f>
        <v>5.9686681931566607E-2</v>
      </c>
      <c r="D188" s="315"/>
      <c r="E188" s="315"/>
      <c r="F188" s="315"/>
      <c r="G188" s="315"/>
      <c r="H188" s="314"/>
      <c r="M188" s="484"/>
    </row>
    <row r="189" spans="1:13" ht="13" thickBot="1" x14ac:dyDescent="0.3">
      <c r="M189" s="484"/>
    </row>
    <row r="190" spans="1:13" ht="13.5" thickBot="1" x14ac:dyDescent="0.35">
      <c r="A190" s="449">
        <f>A82</f>
        <v>8</v>
      </c>
      <c r="B190" s="480" t="str">
        <f>B82</f>
        <v>*** Optimum Calculation of TC vs. *BAR plots Using your test number ratio from section 2</v>
      </c>
      <c r="C190" s="481"/>
      <c r="D190" s="481"/>
      <c r="E190" s="481"/>
      <c r="F190" s="481"/>
      <c r="G190" s="481"/>
      <c r="H190" s="481"/>
      <c r="I190" s="481"/>
      <c r="J190" s="482"/>
      <c r="M190" s="484"/>
    </row>
    <row r="191" spans="1:13" x14ac:dyDescent="0.25">
      <c r="B191" s="224"/>
      <c r="C191" s="28" t="str">
        <f>C83</f>
        <v>Variability</v>
      </c>
      <c r="D191" s="28"/>
      <c r="E191" s="28" t="str">
        <f>E83</f>
        <v xml:space="preserve">   Measurement Costs</v>
      </c>
      <c r="F191" s="28"/>
      <c r="G191" s="28"/>
      <c r="H191" s="28" t="str">
        <f>H83</f>
        <v xml:space="preserve">  Fixed costs:</v>
      </c>
      <c r="I191" s="28"/>
      <c r="J191" s="313"/>
      <c r="M191" s="484"/>
    </row>
    <row r="192" spans="1:13" ht="13" x14ac:dyDescent="0.3">
      <c r="B192" s="376" t="str">
        <f>B84</f>
        <v xml:space="preserve">  CV(TC) =</v>
      </c>
      <c r="C192" s="553">
        <f>C84</f>
        <v>0.35</v>
      </c>
      <c r="D192" s="28" t="s">
        <v>3</v>
      </c>
      <c r="E192" s="330">
        <f>E84</f>
        <v>6</v>
      </c>
      <c r="F192" s="28" t="str">
        <f>F84</f>
        <v xml:space="preserve">= Cost (TC) </v>
      </c>
      <c r="G192" s="28"/>
      <c r="H192" s="331">
        <f>H84</f>
        <v>0</v>
      </c>
      <c r="I192" s="554" t="str">
        <f>I84</f>
        <v>cost #1, perhaps travel to plot</v>
      </c>
      <c r="J192" s="555"/>
      <c r="M192" s="484"/>
    </row>
    <row r="193" spans="1:13" ht="13" x14ac:dyDescent="0.3">
      <c r="B193" s="376"/>
      <c r="C193" s="28"/>
      <c r="D193" s="28"/>
      <c r="E193" s="28" t="s">
        <v>3</v>
      </c>
      <c r="F193" s="28"/>
      <c r="G193" s="28"/>
      <c r="H193" s="331">
        <f>H85</f>
        <v>0</v>
      </c>
      <c r="I193" s="554" t="str">
        <f>I85</f>
        <v>cost #2, other costs PER plot</v>
      </c>
      <c r="J193" s="555"/>
      <c r="M193" s="484"/>
    </row>
    <row r="194" spans="1:13" ht="13.5" thickBot="1" x14ac:dyDescent="0.35">
      <c r="A194" s="5"/>
      <c r="B194" s="387" t="str">
        <f>B86</f>
        <v xml:space="preserve">  CV(*BAR) =</v>
      </c>
      <c r="C194" s="553">
        <f>C86</f>
        <v>0.2</v>
      </c>
      <c r="D194" s="28" t="s">
        <v>3</v>
      </c>
      <c r="E194" s="330">
        <f>E86</f>
        <v>2</v>
      </c>
      <c r="F194" s="28" t="str">
        <f>F86</f>
        <v xml:space="preserve">= Cost (*BAR) </v>
      </c>
      <c r="G194" s="28"/>
      <c r="H194" s="556">
        <f>H86</f>
        <v>0</v>
      </c>
      <c r="I194" s="554" t="str">
        <f>I86</f>
        <v>cost #3, additional  cost/plot</v>
      </c>
      <c r="J194" s="555"/>
      <c r="M194" s="484"/>
    </row>
    <row r="195" spans="1:13" ht="13" thickTop="1" x14ac:dyDescent="0.25">
      <c r="A195" s="5"/>
      <c r="B195" s="224" t="s">
        <v>3</v>
      </c>
      <c r="C195" s="28" t="s">
        <v>3</v>
      </c>
      <c r="D195" s="28" t="s">
        <v>3</v>
      </c>
      <c r="E195" s="28" t="s">
        <v>3</v>
      </c>
      <c r="F195" s="330" t="s">
        <v>3</v>
      </c>
      <c r="G195" s="28" t="s">
        <v>3</v>
      </c>
      <c r="H195" s="331">
        <f>H87</f>
        <v>0</v>
      </c>
      <c r="I195" s="477" t="str">
        <f>I87</f>
        <v>= total</v>
      </c>
      <c r="J195" s="332"/>
      <c r="M195" s="484"/>
    </row>
    <row r="196" spans="1:13" ht="13.5" thickBot="1" x14ac:dyDescent="0.35">
      <c r="A196" s="5"/>
      <c r="B196" s="224"/>
      <c r="C196" s="28"/>
      <c r="D196" s="238" t="str">
        <f>D88</f>
        <v xml:space="preserve">     Ratio for your CHOICE ==&gt;</v>
      </c>
      <c r="E196" s="669">
        <f>E88</f>
        <v>0.5</v>
      </c>
      <c r="F196" s="28" t="str">
        <f>F88</f>
        <v>TC per *BAR</v>
      </c>
      <c r="G196" s="28"/>
      <c r="H196" s="28"/>
      <c r="I196" s="28"/>
      <c r="J196" s="313"/>
      <c r="M196" s="484"/>
    </row>
    <row r="197" spans="1:13" ht="13" x14ac:dyDescent="0.3">
      <c r="A197" s="5"/>
      <c r="B197" s="224"/>
      <c r="C197" s="28"/>
      <c r="D197" s="28"/>
      <c r="E197" s="311"/>
      <c r="F197" s="503"/>
      <c r="G197" s="504" t="str">
        <f>G89</f>
        <v>using your entered number TC =</v>
      </c>
      <c r="H197" s="505">
        <f>H89</f>
        <v>40</v>
      </c>
      <c r="I197" s="28"/>
      <c r="J197" s="313"/>
      <c r="M197" s="484"/>
    </row>
    <row r="198" spans="1:13" ht="13.5" thickBot="1" x14ac:dyDescent="0.35">
      <c r="A198" s="5"/>
      <c r="B198" s="231" t="str">
        <f>B90</f>
        <v xml:space="preserve">  Desired SEc% (Total)==&gt;</v>
      </c>
      <c r="C198" s="28"/>
      <c r="D198" s="670">
        <f>D90</f>
        <v>0.06</v>
      </c>
      <c r="E198" s="316" t="s">
        <v>3</v>
      </c>
      <c r="F198" s="315"/>
      <c r="G198" s="506" t="str">
        <f>G90</f>
        <v>*BAR =</v>
      </c>
      <c r="H198" s="507">
        <f>H90</f>
        <v>80</v>
      </c>
      <c r="I198" s="28"/>
      <c r="J198" s="313"/>
      <c r="M198" s="484"/>
    </row>
    <row r="199" spans="1:13" x14ac:dyDescent="0.25">
      <c r="A199" s="5"/>
      <c r="B199" s="224" t="s">
        <v>3</v>
      </c>
      <c r="C199" s="28"/>
      <c r="D199" s="28"/>
      <c r="E199" s="28"/>
      <c r="F199" s="28"/>
      <c r="G199" s="28"/>
      <c r="H199" s="28"/>
      <c r="I199" s="28"/>
      <c r="J199" s="313"/>
      <c r="M199" s="484"/>
    </row>
    <row r="200" spans="1:13" ht="13" x14ac:dyDescent="0.3">
      <c r="A200" s="5"/>
      <c r="B200" s="225" t="str">
        <f t="shared" ref="B200:G200" si="51">B92</f>
        <v>n points</v>
      </c>
      <c r="C200" s="669">
        <f t="shared" si="51"/>
        <v>39.583333333333329</v>
      </c>
      <c r="D200" s="236" t="str">
        <f t="shared" si="51"/>
        <v>SE%(TC)</v>
      </c>
      <c r="E200" s="670">
        <f t="shared" si="51"/>
        <v>5.5630358996731841E-2</v>
      </c>
      <c r="F200" s="241" t="str">
        <f t="shared" si="51"/>
        <v>Total $</v>
      </c>
      <c r="G200" s="669">
        <f t="shared" si="51"/>
        <v>395.83333333333326</v>
      </c>
      <c r="H200" s="241"/>
      <c r="I200" s="478"/>
      <c r="J200" s="334"/>
      <c r="M200" s="484"/>
    </row>
    <row r="201" spans="1:13" ht="13.5" thickBot="1" x14ac:dyDescent="0.35">
      <c r="A201" s="5"/>
      <c r="B201" s="225" t="str">
        <f>B93</f>
        <v>n (*BAR)</v>
      </c>
      <c r="C201" s="669">
        <f>C93</f>
        <v>79.166666666666657</v>
      </c>
      <c r="D201" s="236" t="str">
        <f>D93</f>
        <v>SE%(*BAR)</v>
      </c>
      <c r="E201" s="894">
        <f>E93</f>
        <v>2.2478059477960655E-2</v>
      </c>
      <c r="F201" s="28"/>
      <c r="G201" s="28"/>
      <c r="H201" s="392"/>
      <c r="I201" s="479"/>
      <c r="J201" s="393"/>
      <c r="M201" s="484"/>
    </row>
    <row r="202" spans="1:13" ht="13.5" thickTop="1" thickBot="1" x14ac:dyDescent="0.3">
      <c r="A202" s="5"/>
      <c r="B202" s="316"/>
      <c r="C202" s="315"/>
      <c r="D202" s="394" t="str">
        <f>D94</f>
        <v>SE% Total</v>
      </c>
      <c r="E202" s="383">
        <f>E94</f>
        <v>6.0000000000000005E-2</v>
      </c>
      <c r="F202" s="315"/>
      <c r="G202" s="315"/>
      <c r="H202" s="315"/>
      <c r="I202" s="315"/>
      <c r="J202" s="314"/>
      <c r="M202" s="484"/>
    </row>
    <row r="203" spans="1:13" x14ac:dyDescent="0.25">
      <c r="M203" s="484"/>
    </row>
    <row r="204" spans="1:13" ht="15.5" x14ac:dyDescent="0.35">
      <c r="A204" s="449">
        <f>A96</f>
        <v>9</v>
      </c>
      <c r="B204" s="409" t="str">
        <f>B96</f>
        <v xml:space="preserve">    If you need to combine prisms,</v>
      </c>
      <c r="C204" s="410"/>
      <c r="D204" s="411"/>
      <c r="E204" s="412" t="str">
        <f>E96</f>
        <v>BAF #1</v>
      </c>
      <c r="F204" s="1164">
        <f>F96</f>
        <v>20</v>
      </c>
      <c r="G204" s="411"/>
      <c r="H204" s="411" t="s">
        <v>3</v>
      </c>
      <c r="I204" s="413"/>
      <c r="M204" s="484"/>
    </row>
    <row r="205" spans="1:13" ht="15.5" x14ac:dyDescent="0.35">
      <c r="B205" s="414" t="str">
        <f>B97</f>
        <v xml:space="preserve">    this is the resulting BAF</v>
      </c>
      <c r="C205" s="415"/>
      <c r="D205" s="416"/>
      <c r="E205" s="417" t="str">
        <f>E97</f>
        <v>BAF #2</v>
      </c>
      <c r="F205" s="1165">
        <f>F97</f>
        <v>30</v>
      </c>
      <c r="G205" s="416"/>
      <c r="H205" s="417" t="str">
        <f>H97</f>
        <v>Combined BAF =</v>
      </c>
      <c r="I205" s="423">
        <f>I97</f>
        <v>98.98979485566359</v>
      </c>
      <c r="M205" s="484"/>
    </row>
    <row r="206" spans="1:13" x14ac:dyDescent="0.25">
      <c r="M206" s="484"/>
    </row>
    <row r="207" spans="1:13" x14ac:dyDescent="0.25">
      <c r="A207" s="483"/>
      <c r="B207" s="484"/>
      <c r="C207" s="484"/>
      <c r="D207" s="484"/>
      <c r="E207" s="484"/>
      <c r="F207" s="484"/>
      <c r="G207" s="484"/>
      <c r="H207" s="484"/>
      <c r="I207" s="484"/>
      <c r="J207" s="484"/>
      <c r="K207" s="484"/>
      <c r="L207" s="531"/>
      <c r="M207" s="484"/>
    </row>
  </sheetData>
  <sheetProtection algorithmName="SHA-512" hashValue="p1TyrFQ6zsANfwBKx/D0rrEgnF6Da6yP4Hrklb/ST06hAXm8UFP8s8qDcmsC/lFawNtw2vQ1FPnBFyfdawjGEA==" saltValue="aHdxnshtgHkd1dg4Wy7j7A==" spinCount="100000" sheet="1" formatCells="0"/>
  <phoneticPr fontId="66" type="noConversion"/>
  <pageMargins left="0.75" right="0.75" top="1" bottom="1" header="0.5" footer="0.5"/>
  <headerFooter alignWithMargins="0"/>
  <drawing r:id="rId1"/>
  <legacyDrawing r:id="rId2"/>
  <oleObjects>
    <mc:AlternateContent xmlns:mc="http://schemas.openxmlformats.org/markup-compatibility/2006">
      <mc:Choice Requires="x14">
        <oleObject progId="Document" dvAspect="DVASPECT_ICON" shapeId="97134" r:id="rId3">
          <objectPr locked="0" defaultSize="0" autoPict="0" r:id="rId4">
            <anchor moveWithCells="1">
              <from>
                <xdr:col>11</xdr:col>
                <xdr:colOff>476250</xdr:colOff>
                <xdr:row>6</xdr:row>
                <xdr:rowOff>69850</xdr:rowOff>
              </from>
              <to>
                <xdr:col>12</xdr:col>
                <xdr:colOff>596900</xdr:colOff>
                <xdr:row>10</xdr:row>
                <xdr:rowOff>6350</xdr:rowOff>
              </to>
            </anchor>
          </objectPr>
        </oleObject>
      </mc:Choice>
      <mc:Fallback>
        <oleObject progId="Document" dvAspect="DVASPECT_ICON" shapeId="97134"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203"/>
  <sheetViews>
    <sheetView topLeftCell="A7" workbookViewId="0">
      <selection activeCell="J37" sqref="J37"/>
    </sheetView>
  </sheetViews>
  <sheetFormatPr defaultColWidth="10.36328125" defaultRowHeight="12.5" x14ac:dyDescent="0.25"/>
  <cols>
    <col min="1" max="1" width="3.08984375" style="449" customWidth="1"/>
    <col min="2" max="2" width="13.36328125" style="10" customWidth="1"/>
    <col min="3" max="3" width="9.90625" style="10" customWidth="1"/>
    <col min="4" max="4" width="10.6328125" style="10" customWidth="1"/>
    <col min="5" max="5" width="11.54296875" style="10" customWidth="1"/>
    <col min="6" max="6" width="10.453125" style="10" customWidth="1"/>
    <col min="7" max="7" width="9.54296875" style="10" customWidth="1"/>
    <col min="8" max="8" width="11.08984375" style="10" customWidth="1"/>
    <col min="9" max="9" width="10.90625" style="10" customWidth="1"/>
    <col min="10" max="10" width="8" style="10" customWidth="1"/>
    <col min="11" max="11" width="11" style="10" customWidth="1"/>
    <col min="12" max="12" width="10.36328125" style="10"/>
    <col min="13" max="15" width="10.6328125" style="10" customWidth="1"/>
    <col min="16" max="21" width="10.36328125" style="10"/>
    <col min="22" max="22" width="8.453125" style="10" customWidth="1"/>
    <col min="23" max="24" width="10.36328125" style="10"/>
    <col min="25" max="25" width="12.6328125" style="10" customWidth="1"/>
    <col min="26" max="26" width="4.6328125" style="10" customWidth="1"/>
    <col min="27" max="27" width="11.6328125" style="10" customWidth="1"/>
    <col min="28" max="30" width="10.36328125" style="10"/>
    <col min="31" max="41" width="10.36328125" style="5"/>
    <col min="42" max="256" width="10.36328125" style="10"/>
    <col min="257" max="257" width="3.08984375" style="10" customWidth="1"/>
    <col min="258" max="258" width="13.36328125" style="10" customWidth="1"/>
    <col min="259" max="259" width="9.90625" style="10" customWidth="1"/>
    <col min="260" max="260" width="10.6328125" style="10" customWidth="1"/>
    <col min="261" max="261" width="11.54296875" style="10" customWidth="1"/>
    <col min="262" max="262" width="10.453125" style="10" customWidth="1"/>
    <col min="263" max="263" width="9.54296875" style="10" customWidth="1"/>
    <col min="264" max="264" width="11.08984375" style="10" customWidth="1"/>
    <col min="265" max="265" width="10.90625" style="10" customWidth="1"/>
    <col min="266" max="266" width="8" style="10" customWidth="1"/>
    <col min="267" max="267" width="11" style="10" customWidth="1"/>
    <col min="268" max="268" width="10.36328125" style="10"/>
    <col min="269" max="271" width="10.6328125" style="10" customWidth="1"/>
    <col min="272" max="277" width="10.36328125" style="10"/>
    <col min="278" max="278" width="8.453125" style="10" customWidth="1"/>
    <col min="279" max="280" width="10.36328125" style="10"/>
    <col min="281" max="281" width="12.6328125" style="10" customWidth="1"/>
    <col min="282" max="282" width="4.6328125" style="10" customWidth="1"/>
    <col min="283" max="283" width="11.6328125" style="10" customWidth="1"/>
    <col min="284" max="512" width="10.36328125" style="10"/>
    <col min="513" max="513" width="3.08984375" style="10" customWidth="1"/>
    <col min="514" max="514" width="13.36328125" style="10" customWidth="1"/>
    <col min="515" max="515" width="9.90625" style="10" customWidth="1"/>
    <col min="516" max="516" width="10.6328125" style="10" customWidth="1"/>
    <col min="517" max="517" width="11.54296875" style="10" customWidth="1"/>
    <col min="518" max="518" width="10.453125" style="10" customWidth="1"/>
    <col min="519" max="519" width="9.54296875" style="10" customWidth="1"/>
    <col min="520" max="520" width="11.08984375" style="10" customWidth="1"/>
    <col min="521" max="521" width="10.90625" style="10" customWidth="1"/>
    <col min="522" max="522" width="8" style="10" customWidth="1"/>
    <col min="523" max="523" width="11" style="10" customWidth="1"/>
    <col min="524" max="524" width="10.36328125" style="10"/>
    <col min="525" max="527" width="10.6328125" style="10" customWidth="1"/>
    <col min="528" max="533" width="10.36328125" style="10"/>
    <col min="534" max="534" width="8.453125" style="10" customWidth="1"/>
    <col min="535" max="536" width="10.36328125" style="10"/>
    <col min="537" max="537" width="12.6328125" style="10" customWidth="1"/>
    <col min="538" max="538" width="4.6328125" style="10" customWidth="1"/>
    <col min="539" max="539" width="11.6328125" style="10" customWidth="1"/>
    <col min="540" max="768" width="10.36328125" style="10"/>
    <col min="769" max="769" width="3.08984375" style="10" customWidth="1"/>
    <col min="770" max="770" width="13.36328125" style="10" customWidth="1"/>
    <col min="771" max="771" width="9.90625" style="10" customWidth="1"/>
    <col min="772" max="772" width="10.6328125" style="10" customWidth="1"/>
    <col min="773" max="773" width="11.54296875" style="10" customWidth="1"/>
    <col min="774" max="774" width="10.453125" style="10" customWidth="1"/>
    <col min="775" max="775" width="9.54296875" style="10" customWidth="1"/>
    <col min="776" max="776" width="11.08984375" style="10" customWidth="1"/>
    <col min="777" max="777" width="10.90625" style="10" customWidth="1"/>
    <col min="778" max="778" width="8" style="10" customWidth="1"/>
    <col min="779" max="779" width="11" style="10" customWidth="1"/>
    <col min="780" max="780" width="10.36328125" style="10"/>
    <col min="781" max="783" width="10.6328125" style="10" customWidth="1"/>
    <col min="784" max="789" width="10.36328125" style="10"/>
    <col min="790" max="790" width="8.453125" style="10" customWidth="1"/>
    <col min="791" max="792" width="10.36328125" style="10"/>
    <col min="793" max="793" width="12.6328125" style="10" customWidth="1"/>
    <col min="794" max="794" width="4.6328125" style="10" customWidth="1"/>
    <col min="795" max="795" width="11.6328125" style="10" customWidth="1"/>
    <col min="796" max="1024" width="10.36328125" style="10"/>
    <col min="1025" max="1025" width="3.08984375" style="10" customWidth="1"/>
    <col min="1026" max="1026" width="13.36328125" style="10" customWidth="1"/>
    <col min="1027" max="1027" width="9.90625" style="10" customWidth="1"/>
    <col min="1028" max="1028" width="10.6328125" style="10" customWidth="1"/>
    <col min="1029" max="1029" width="11.54296875" style="10" customWidth="1"/>
    <col min="1030" max="1030" width="10.453125" style="10" customWidth="1"/>
    <col min="1031" max="1031" width="9.54296875" style="10" customWidth="1"/>
    <col min="1032" max="1032" width="11.08984375" style="10" customWidth="1"/>
    <col min="1033" max="1033" width="10.90625" style="10" customWidth="1"/>
    <col min="1034" max="1034" width="8" style="10" customWidth="1"/>
    <col min="1035" max="1035" width="11" style="10" customWidth="1"/>
    <col min="1036" max="1036" width="10.36328125" style="10"/>
    <col min="1037" max="1039" width="10.6328125" style="10" customWidth="1"/>
    <col min="1040" max="1045" width="10.36328125" style="10"/>
    <col min="1046" max="1046" width="8.453125" style="10" customWidth="1"/>
    <col min="1047" max="1048" width="10.36328125" style="10"/>
    <col min="1049" max="1049" width="12.6328125" style="10" customWidth="1"/>
    <col min="1050" max="1050" width="4.6328125" style="10" customWidth="1"/>
    <col min="1051" max="1051" width="11.6328125" style="10" customWidth="1"/>
    <col min="1052" max="1280" width="10.36328125" style="10"/>
    <col min="1281" max="1281" width="3.08984375" style="10" customWidth="1"/>
    <col min="1282" max="1282" width="13.36328125" style="10" customWidth="1"/>
    <col min="1283" max="1283" width="9.90625" style="10" customWidth="1"/>
    <col min="1284" max="1284" width="10.6328125" style="10" customWidth="1"/>
    <col min="1285" max="1285" width="11.54296875" style="10" customWidth="1"/>
    <col min="1286" max="1286" width="10.453125" style="10" customWidth="1"/>
    <col min="1287" max="1287" width="9.54296875" style="10" customWidth="1"/>
    <col min="1288" max="1288" width="11.08984375" style="10" customWidth="1"/>
    <col min="1289" max="1289" width="10.90625" style="10" customWidth="1"/>
    <col min="1290" max="1290" width="8" style="10" customWidth="1"/>
    <col min="1291" max="1291" width="11" style="10" customWidth="1"/>
    <col min="1292" max="1292" width="10.36328125" style="10"/>
    <col min="1293" max="1295" width="10.6328125" style="10" customWidth="1"/>
    <col min="1296" max="1301" width="10.36328125" style="10"/>
    <col min="1302" max="1302" width="8.453125" style="10" customWidth="1"/>
    <col min="1303" max="1304" width="10.36328125" style="10"/>
    <col min="1305" max="1305" width="12.6328125" style="10" customWidth="1"/>
    <col min="1306" max="1306" width="4.6328125" style="10" customWidth="1"/>
    <col min="1307" max="1307" width="11.6328125" style="10" customWidth="1"/>
    <col min="1308" max="1536" width="10.36328125" style="10"/>
    <col min="1537" max="1537" width="3.08984375" style="10" customWidth="1"/>
    <col min="1538" max="1538" width="13.36328125" style="10" customWidth="1"/>
    <col min="1539" max="1539" width="9.90625" style="10" customWidth="1"/>
    <col min="1540" max="1540" width="10.6328125" style="10" customWidth="1"/>
    <col min="1541" max="1541" width="11.54296875" style="10" customWidth="1"/>
    <col min="1542" max="1542" width="10.453125" style="10" customWidth="1"/>
    <col min="1543" max="1543" width="9.54296875" style="10" customWidth="1"/>
    <col min="1544" max="1544" width="11.08984375" style="10" customWidth="1"/>
    <col min="1545" max="1545" width="10.90625" style="10" customWidth="1"/>
    <col min="1546" max="1546" width="8" style="10" customWidth="1"/>
    <col min="1547" max="1547" width="11" style="10" customWidth="1"/>
    <col min="1548" max="1548" width="10.36328125" style="10"/>
    <col min="1549" max="1551" width="10.6328125" style="10" customWidth="1"/>
    <col min="1552" max="1557" width="10.36328125" style="10"/>
    <col min="1558" max="1558" width="8.453125" style="10" customWidth="1"/>
    <col min="1559" max="1560" width="10.36328125" style="10"/>
    <col min="1561" max="1561" width="12.6328125" style="10" customWidth="1"/>
    <col min="1562" max="1562" width="4.6328125" style="10" customWidth="1"/>
    <col min="1563" max="1563" width="11.6328125" style="10" customWidth="1"/>
    <col min="1564" max="1792" width="10.36328125" style="10"/>
    <col min="1793" max="1793" width="3.08984375" style="10" customWidth="1"/>
    <col min="1794" max="1794" width="13.36328125" style="10" customWidth="1"/>
    <col min="1795" max="1795" width="9.90625" style="10" customWidth="1"/>
    <col min="1796" max="1796" width="10.6328125" style="10" customWidth="1"/>
    <col min="1797" max="1797" width="11.54296875" style="10" customWidth="1"/>
    <col min="1798" max="1798" width="10.453125" style="10" customWidth="1"/>
    <col min="1799" max="1799" width="9.54296875" style="10" customWidth="1"/>
    <col min="1800" max="1800" width="11.08984375" style="10" customWidth="1"/>
    <col min="1801" max="1801" width="10.90625" style="10" customWidth="1"/>
    <col min="1802" max="1802" width="8" style="10" customWidth="1"/>
    <col min="1803" max="1803" width="11" style="10" customWidth="1"/>
    <col min="1804" max="1804" width="10.36328125" style="10"/>
    <col min="1805" max="1807" width="10.6328125" style="10" customWidth="1"/>
    <col min="1808" max="1813" width="10.36328125" style="10"/>
    <col min="1814" max="1814" width="8.453125" style="10" customWidth="1"/>
    <col min="1815" max="1816" width="10.36328125" style="10"/>
    <col min="1817" max="1817" width="12.6328125" style="10" customWidth="1"/>
    <col min="1818" max="1818" width="4.6328125" style="10" customWidth="1"/>
    <col min="1819" max="1819" width="11.6328125" style="10" customWidth="1"/>
    <col min="1820" max="2048" width="10.36328125" style="10"/>
    <col min="2049" max="2049" width="3.08984375" style="10" customWidth="1"/>
    <col min="2050" max="2050" width="13.36328125" style="10" customWidth="1"/>
    <col min="2051" max="2051" width="9.90625" style="10" customWidth="1"/>
    <col min="2052" max="2052" width="10.6328125" style="10" customWidth="1"/>
    <col min="2053" max="2053" width="11.54296875" style="10" customWidth="1"/>
    <col min="2054" max="2054" width="10.453125" style="10" customWidth="1"/>
    <col min="2055" max="2055" width="9.54296875" style="10" customWidth="1"/>
    <col min="2056" max="2056" width="11.08984375" style="10" customWidth="1"/>
    <col min="2057" max="2057" width="10.90625" style="10" customWidth="1"/>
    <col min="2058" max="2058" width="8" style="10" customWidth="1"/>
    <col min="2059" max="2059" width="11" style="10" customWidth="1"/>
    <col min="2060" max="2060" width="10.36328125" style="10"/>
    <col min="2061" max="2063" width="10.6328125" style="10" customWidth="1"/>
    <col min="2064" max="2069" width="10.36328125" style="10"/>
    <col min="2070" max="2070" width="8.453125" style="10" customWidth="1"/>
    <col min="2071" max="2072" width="10.36328125" style="10"/>
    <col min="2073" max="2073" width="12.6328125" style="10" customWidth="1"/>
    <col min="2074" max="2074" width="4.6328125" style="10" customWidth="1"/>
    <col min="2075" max="2075" width="11.6328125" style="10" customWidth="1"/>
    <col min="2076" max="2304" width="10.36328125" style="10"/>
    <col min="2305" max="2305" width="3.08984375" style="10" customWidth="1"/>
    <col min="2306" max="2306" width="13.36328125" style="10" customWidth="1"/>
    <col min="2307" max="2307" width="9.90625" style="10" customWidth="1"/>
    <col min="2308" max="2308" width="10.6328125" style="10" customWidth="1"/>
    <col min="2309" max="2309" width="11.54296875" style="10" customWidth="1"/>
    <col min="2310" max="2310" width="10.453125" style="10" customWidth="1"/>
    <col min="2311" max="2311" width="9.54296875" style="10" customWidth="1"/>
    <col min="2312" max="2312" width="11.08984375" style="10" customWidth="1"/>
    <col min="2313" max="2313" width="10.90625" style="10" customWidth="1"/>
    <col min="2314" max="2314" width="8" style="10" customWidth="1"/>
    <col min="2315" max="2315" width="11" style="10" customWidth="1"/>
    <col min="2316" max="2316" width="10.36328125" style="10"/>
    <col min="2317" max="2319" width="10.6328125" style="10" customWidth="1"/>
    <col min="2320" max="2325" width="10.36328125" style="10"/>
    <col min="2326" max="2326" width="8.453125" style="10" customWidth="1"/>
    <col min="2327" max="2328" width="10.36328125" style="10"/>
    <col min="2329" max="2329" width="12.6328125" style="10" customWidth="1"/>
    <col min="2330" max="2330" width="4.6328125" style="10" customWidth="1"/>
    <col min="2331" max="2331" width="11.6328125" style="10" customWidth="1"/>
    <col min="2332" max="2560" width="10.36328125" style="10"/>
    <col min="2561" max="2561" width="3.08984375" style="10" customWidth="1"/>
    <col min="2562" max="2562" width="13.36328125" style="10" customWidth="1"/>
    <col min="2563" max="2563" width="9.90625" style="10" customWidth="1"/>
    <col min="2564" max="2564" width="10.6328125" style="10" customWidth="1"/>
    <col min="2565" max="2565" width="11.54296875" style="10" customWidth="1"/>
    <col min="2566" max="2566" width="10.453125" style="10" customWidth="1"/>
    <col min="2567" max="2567" width="9.54296875" style="10" customWidth="1"/>
    <col min="2568" max="2568" width="11.08984375" style="10" customWidth="1"/>
    <col min="2569" max="2569" width="10.90625" style="10" customWidth="1"/>
    <col min="2570" max="2570" width="8" style="10" customWidth="1"/>
    <col min="2571" max="2571" width="11" style="10" customWidth="1"/>
    <col min="2572" max="2572" width="10.36328125" style="10"/>
    <col min="2573" max="2575" width="10.6328125" style="10" customWidth="1"/>
    <col min="2576" max="2581" width="10.36328125" style="10"/>
    <col min="2582" max="2582" width="8.453125" style="10" customWidth="1"/>
    <col min="2583" max="2584" width="10.36328125" style="10"/>
    <col min="2585" max="2585" width="12.6328125" style="10" customWidth="1"/>
    <col min="2586" max="2586" width="4.6328125" style="10" customWidth="1"/>
    <col min="2587" max="2587" width="11.6328125" style="10" customWidth="1"/>
    <col min="2588" max="2816" width="10.36328125" style="10"/>
    <col min="2817" max="2817" width="3.08984375" style="10" customWidth="1"/>
    <col min="2818" max="2818" width="13.36328125" style="10" customWidth="1"/>
    <col min="2819" max="2819" width="9.90625" style="10" customWidth="1"/>
    <col min="2820" max="2820" width="10.6328125" style="10" customWidth="1"/>
    <col min="2821" max="2821" width="11.54296875" style="10" customWidth="1"/>
    <col min="2822" max="2822" width="10.453125" style="10" customWidth="1"/>
    <col min="2823" max="2823" width="9.54296875" style="10" customWidth="1"/>
    <col min="2824" max="2824" width="11.08984375" style="10" customWidth="1"/>
    <col min="2825" max="2825" width="10.90625" style="10" customWidth="1"/>
    <col min="2826" max="2826" width="8" style="10" customWidth="1"/>
    <col min="2827" max="2827" width="11" style="10" customWidth="1"/>
    <col min="2828" max="2828" width="10.36328125" style="10"/>
    <col min="2829" max="2831" width="10.6328125" style="10" customWidth="1"/>
    <col min="2832" max="2837" width="10.36328125" style="10"/>
    <col min="2838" max="2838" width="8.453125" style="10" customWidth="1"/>
    <col min="2839" max="2840" width="10.36328125" style="10"/>
    <col min="2841" max="2841" width="12.6328125" style="10" customWidth="1"/>
    <col min="2842" max="2842" width="4.6328125" style="10" customWidth="1"/>
    <col min="2843" max="2843" width="11.6328125" style="10" customWidth="1"/>
    <col min="2844" max="3072" width="10.36328125" style="10"/>
    <col min="3073" max="3073" width="3.08984375" style="10" customWidth="1"/>
    <col min="3074" max="3074" width="13.36328125" style="10" customWidth="1"/>
    <col min="3075" max="3075" width="9.90625" style="10" customWidth="1"/>
    <col min="3076" max="3076" width="10.6328125" style="10" customWidth="1"/>
    <col min="3077" max="3077" width="11.54296875" style="10" customWidth="1"/>
    <col min="3078" max="3078" width="10.453125" style="10" customWidth="1"/>
    <col min="3079" max="3079" width="9.54296875" style="10" customWidth="1"/>
    <col min="3080" max="3080" width="11.08984375" style="10" customWidth="1"/>
    <col min="3081" max="3081" width="10.90625" style="10" customWidth="1"/>
    <col min="3082" max="3082" width="8" style="10" customWidth="1"/>
    <col min="3083" max="3083" width="11" style="10" customWidth="1"/>
    <col min="3084" max="3084" width="10.36328125" style="10"/>
    <col min="3085" max="3087" width="10.6328125" style="10" customWidth="1"/>
    <col min="3088" max="3093" width="10.36328125" style="10"/>
    <col min="3094" max="3094" width="8.453125" style="10" customWidth="1"/>
    <col min="3095" max="3096" width="10.36328125" style="10"/>
    <col min="3097" max="3097" width="12.6328125" style="10" customWidth="1"/>
    <col min="3098" max="3098" width="4.6328125" style="10" customWidth="1"/>
    <col min="3099" max="3099" width="11.6328125" style="10" customWidth="1"/>
    <col min="3100" max="3328" width="10.36328125" style="10"/>
    <col min="3329" max="3329" width="3.08984375" style="10" customWidth="1"/>
    <col min="3330" max="3330" width="13.36328125" style="10" customWidth="1"/>
    <col min="3331" max="3331" width="9.90625" style="10" customWidth="1"/>
    <col min="3332" max="3332" width="10.6328125" style="10" customWidth="1"/>
    <col min="3333" max="3333" width="11.54296875" style="10" customWidth="1"/>
    <col min="3334" max="3334" width="10.453125" style="10" customWidth="1"/>
    <col min="3335" max="3335" width="9.54296875" style="10" customWidth="1"/>
    <col min="3336" max="3336" width="11.08984375" style="10" customWidth="1"/>
    <col min="3337" max="3337" width="10.90625" style="10" customWidth="1"/>
    <col min="3338" max="3338" width="8" style="10" customWidth="1"/>
    <col min="3339" max="3339" width="11" style="10" customWidth="1"/>
    <col min="3340" max="3340" width="10.36328125" style="10"/>
    <col min="3341" max="3343" width="10.6328125" style="10" customWidth="1"/>
    <col min="3344" max="3349" width="10.36328125" style="10"/>
    <col min="3350" max="3350" width="8.453125" style="10" customWidth="1"/>
    <col min="3351" max="3352" width="10.36328125" style="10"/>
    <col min="3353" max="3353" width="12.6328125" style="10" customWidth="1"/>
    <col min="3354" max="3354" width="4.6328125" style="10" customWidth="1"/>
    <col min="3355" max="3355" width="11.6328125" style="10" customWidth="1"/>
    <col min="3356" max="3584" width="10.36328125" style="10"/>
    <col min="3585" max="3585" width="3.08984375" style="10" customWidth="1"/>
    <col min="3586" max="3586" width="13.36328125" style="10" customWidth="1"/>
    <col min="3587" max="3587" width="9.90625" style="10" customWidth="1"/>
    <col min="3588" max="3588" width="10.6328125" style="10" customWidth="1"/>
    <col min="3589" max="3589" width="11.54296875" style="10" customWidth="1"/>
    <col min="3590" max="3590" width="10.453125" style="10" customWidth="1"/>
    <col min="3591" max="3591" width="9.54296875" style="10" customWidth="1"/>
    <col min="3592" max="3592" width="11.08984375" style="10" customWidth="1"/>
    <col min="3593" max="3593" width="10.90625" style="10" customWidth="1"/>
    <col min="3594" max="3594" width="8" style="10" customWidth="1"/>
    <col min="3595" max="3595" width="11" style="10" customWidth="1"/>
    <col min="3596" max="3596" width="10.36328125" style="10"/>
    <col min="3597" max="3599" width="10.6328125" style="10" customWidth="1"/>
    <col min="3600" max="3605" width="10.36328125" style="10"/>
    <col min="3606" max="3606" width="8.453125" style="10" customWidth="1"/>
    <col min="3607" max="3608" width="10.36328125" style="10"/>
    <col min="3609" max="3609" width="12.6328125" style="10" customWidth="1"/>
    <col min="3610" max="3610" width="4.6328125" style="10" customWidth="1"/>
    <col min="3611" max="3611" width="11.6328125" style="10" customWidth="1"/>
    <col min="3612" max="3840" width="10.36328125" style="10"/>
    <col min="3841" max="3841" width="3.08984375" style="10" customWidth="1"/>
    <col min="3842" max="3842" width="13.36328125" style="10" customWidth="1"/>
    <col min="3843" max="3843" width="9.90625" style="10" customWidth="1"/>
    <col min="3844" max="3844" width="10.6328125" style="10" customWidth="1"/>
    <col min="3845" max="3845" width="11.54296875" style="10" customWidth="1"/>
    <col min="3846" max="3846" width="10.453125" style="10" customWidth="1"/>
    <col min="3847" max="3847" width="9.54296875" style="10" customWidth="1"/>
    <col min="3848" max="3848" width="11.08984375" style="10" customWidth="1"/>
    <col min="3849" max="3849" width="10.90625" style="10" customWidth="1"/>
    <col min="3850" max="3850" width="8" style="10" customWidth="1"/>
    <col min="3851" max="3851" width="11" style="10" customWidth="1"/>
    <col min="3852" max="3852" width="10.36328125" style="10"/>
    <col min="3853" max="3855" width="10.6328125" style="10" customWidth="1"/>
    <col min="3856" max="3861" width="10.36328125" style="10"/>
    <col min="3862" max="3862" width="8.453125" style="10" customWidth="1"/>
    <col min="3863" max="3864" width="10.36328125" style="10"/>
    <col min="3865" max="3865" width="12.6328125" style="10" customWidth="1"/>
    <col min="3866" max="3866" width="4.6328125" style="10" customWidth="1"/>
    <col min="3867" max="3867" width="11.6328125" style="10" customWidth="1"/>
    <col min="3868" max="4096" width="10.36328125" style="10"/>
    <col min="4097" max="4097" width="3.08984375" style="10" customWidth="1"/>
    <col min="4098" max="4098" width="13.36328125" style="10" customWidth="1"/>
    <col min="4099" max="4099" width="9.90625" style="10" customWidth="1"/>
    <col min="4100" max="4100" width="10.6328125" style="10" customWidth="1"/>
    <col min="4101" max="4101" width="11.54296875" style="10" customWidth="1"/>
    <col min="4102" max="4102" width="10.453125" style="10" customWidth="1"/>
    <col min="4103" max="4103" width="9.54296875" style="10" customWidth="1"/>
    <col min="4104" max="4104" width="11.08984375" style="10" customWidth="1"/>
    <col min="4105" max="4105" width="10.90625" style="10" customWidth="1"/>
    <col min="4106" max="4106" width="8" style="10" customWidth="1"/>
    <col min="4107" max="4107" width="11" style="10" customWidth="1"/>
    <col min="4108" max="4108" width="10.36328125" style="10"/>
    <col min="4109" max="4111" width="10.6328125" style="10" customWidth="1"/>
    <col min="4112" max="4117" width="10.36328125" style="10"/>
    <col min="4118" max="4118" width="8.453125" style="10" customWidth="1"/>
    <col min="4119" max="4120" width="10.36328125" style="10"/>
    <col min="4121" max="4121" width="12.6328125" style="10" customWidth="1"/>
    <col min="4122" max="4122" width="4.6328125" style="10" customWidth="1"/>
    <col min="4123" max="4123" width="11.6328125" style="10" customWidth="1"/>
    <col min="4124" max="4352" width="10.36328125" style="10"/>
    <col min="4353" max="4353" width="3.08984375" style="10" customWidth="1"/>
    <col min="4354" max="4354" width="13.36328125" style="10" customWidth="1"/>
    <col min="4355" max="4355" width="9.90625" style="10" customWidth="1"/>
    <col min="4356" max="4356" width="10.6328125" style="10" customWidth="1"/>
    <col min="4357" max="4357" width="11.54296875" style="10" customWidth="1"/>
    <col min="4358" max="4358" width="10.453125" style="10" customWidth="1"/>
    <col min="4359" max="4359" width="9.54296875" style="10" customWidth="1"/>
    <col min="4360" max="4360" width="11.08984375" style="10" customWidth="1"/>
    <col min="4361" max="4361" width="10.90625" style="10" customWidth="1"/>
    <col min="4362" max="4362" width="8" style="10" customWidth="1"/>
    <col min="4363" max="4363" width="11" style="10" customWidth="1"/>
    <col min="4364" max="4364" width="10.36328125" style="10"/>
    <col min="4365" max="4367" width="10.6328125" style="10" customWidth="1"/>
    <col min="4368" max="4373" width="10.36328125" style="10"/>
    <col min="4374" max="4374" width="8.453125" style="10" customWidth="1"/>
    <col min="4375" max="4376" width="10.36328125" style="10"/>
    <col min="4377" max="4377" width="12.6328125" style="10" customWidth="1"/>
    <col min="4378" max="4378" width="4.6328125" style="10" customWidth="1"/>
    <col min="4379" max="4379" width="11.6328125" style="10" customWidth="1"/>
    <col min="4380" max="4608" width="10.36328125" style="10"/>
    <col min="4609" max="4609" width="3.08984375" style="10" customWidth="1"/>
    <col min="4610" max="4610" width="13.36328125" style="10" customWidth="1"/>
    <col min="4611" max="4611" width="9.90625" style="10" customWidth="1"/>
    <col min="4612" max="4612" width="10.6328125" style="10" customWidth="1"/>
    <col min="4613" max="4613" width="11.54296875" style="10" customWidth="1"/>
    <col min="4614" max="4614" width="10.453125" style="10" customWidth="1"/>
    <col min="4615" max="4615" width="9.54296875" style="10" customWidth="1"/>
    <col min="4616" max="4616" width="11.08984375" style="10" customWidth="1"/>
    <col min="4617" max="4617" width="10.90625" style="10" customWidth="1"/>
    <col min="4618" max="4618" width="8" style="10" customWidth="1"/>
    <col min="4619" max="4619" width="11" style="10" customWidth="1"/>
    <col min="4620" max="4620" width="10.36328125" style="10"/>
    <col min="4621" max="4623" width="10.6328125" style="10" customWidth="1"/>
    <col min="4624" max="4629" width="10.36328125" style="10"/>
    <col min="4630" max="4630" width="8.453125" style="10" customWidth="1"/>
    <col min="4631" max="4632" width="10.36328125" style="10"/>
    <col min="4633" max="4633" width="12.6328125" style="10" customWidth="1"/>
    <col min="4634" max="4634" width="4.6328125" style="10" customWidth="1"/>
    <col min="4635" max="4635" width="11.6328125" style="10" customWidth="1"/>
    <col min="4636" max="4864" width="10.36328125" style="10"/>
    <col min="4865" max="4865" width="3.08984375" style="10" customWidth="1"/>
    <col min="4866" max="4866" width="13.36328125" style="10" customWidth="1"/>
    <col min="4867" max="4867" width="9.90625" style="10" customWidth="1"/>
    <col min="4868" max="4868" width="10.6328125" style="10" customWidth="1"/>
    <col min="4869" max="4869" width="11.54296875" style="10" customWidth="1"/>
    <col min="4870" max="4870" width="10.453125" style="10" customWidth="1"/>
    <col min="4871" max="4871" width="9.54296875" style="10" customWidth="1"/>
    <col min="4872" max="4872" width="11.08984375" style="10" customWidth="1"/>
    <col min="4873" max="4873" width="10.90625" style="10" customWidth="1"/>
    <col min="4874" max="4874" width="8" style="10" customWidth="1"/>
    <col min="4875" max="4875" width="11" style="10" customWidth="1"/>
    <col min="4876" max="4876" width="10.36328125" style="10"/>
    <col min="4877" max="4879" width="10.6328125" style="10" customWidth="1"/>
    <col min="4880" max="4885" width="10.36328125" style="10"/>
    <col min="4886" max="4886" width="8.453125" style="10" customWidth="1"/>
    <col min="4887" max="4888" width="10.36328125" style="10"/>
    <col min="4889" max="4889" width="12.6328125" style="10" customWidth="1"/>
    <col min="4890" max="4890" width="4.6328125" style="10" customWidth="1"/>
    <col min="4891" max="4891" width="11.6328125" style="10" customWidth="1"/>
    <col min="4892" max="5120" width="10.36328125" style="10"/>
    <col min="5121" max="5121" width="3.08984375" style="10" customWidth="1"/>
    <col min="5122" max="5122" width="13.36328125" style="10" customWidth="1"/>
    <col min="5123" max="5123" width="9.90625" style="10" customWidth="1"/>
    <col min="5124" max="5124" width="10.6328125" style="10" customWidth="1"/>
    <col min="5125" max="5125" width="11.54296875" style="10" customWidth="1"/>
    <col min="5126" max="5126" width="10.453125" style="10" customWidth="1"/>
    <col min="5127" max="5127" width="9.54296875" style="10" customWidth="1"/>
    <col min="5128" max="5128" width="11.08984375" style="10" customWidth="1"/>
    <col min="5129" max="5129" width="10.90625" style="10" customWidth="1"/>
    <col min="5130" max="5130" width="8" style="10" customWidth="1"/>
    <col min="5131" max="5131" width="11" style="10" customWidth="1"/>
    <col min="5132" max="5132" width="10.36328125" style="10"/>
    <col min="5133" max="5135" width="10.6328125" style="10" customWidth="1"/>
    <col min="5136" max="5141" width="10.36328125" style="10"/>
    <col min="5142" max="5142" width="8.453125" style="10" customWidth="1"/>
    <col min="5143" max="5144" width="10.36328125" style="10"/>
    <col min="5145" max="5145" width="12.6328125" style="10" customWidth="1"/>
    <col min="5146" max="5146" width="4.6328125" style="10" customWidth="1"/>
    <col min="5147" max="5147" width="11.6328125" style="10" customWidth="1"/>
    <col min="5148" max="5376" width="10.36328125" style="10"/>
    <col min="5377" max="5377" width="3.08984375" style="10" customWidth="1"/>
    <col min="5378" max="5378" width="13.36328125" style="10" customWidth="1"/>
    <col min="5379" max="5379" width="9.90625" style="10" customWidth="1"/>
    <col min="5380" max="5380" width="10.6328125" style="10" customWidth="1"/>
    <col min="5381" max="5381" width="11.54296875" style="10" customWidth="1"/>
    <col min="5382" max="5382" width="10.453125" style="10" customWidth="1"/>
    <col min="5383" max="5383" width="9.54296875" style="10" customWidth="1"/>
    <col min="5384" max="5384" width="11.08984375" style="10" customWidth="1"/>
    <col min="5385" max="5385" width="10.90625" style="10" customWidth="1"/>
    <col min="5386" max="5386" width="8" style="10" customWidth="1"/>
    <col min="5387" max="5387" width="11" style="10" customWidth="1"/>
    <col min="5388" max="5388" width="10.36328125" style="10"/>
    <col min="5389" max="5391" width="10.6328125" style="10" customWidth="1"/>
    <col min="5392" max="5397" width="10.36328125" style="10"/>
    <col min="5398" max="5398" width="8.453125" style="10" customWidth="1"/>
    <col min="5399" max="5400" width="10.36328125" style="10"/>
    <col min="5401" max="5401" width="12.6328125" style="10" customWidth="1"/>
    <col min="5402" max="5402" width="4.6328125" style="10" customWidth="1"/>
    <col min="5403" max="5403" width="11.6328125" style="10" customWidth="1"/>
    <col min="5404" max="5632" width="10.36328125" style="10"/>
    <col min="5633" max="5633" width="3.08984375" style="10" customWidth="1"/>
    <col min="5634" max="5634" width="13.36328125" style="10" customWidth="1"/>
    <col min="5635" max="5635" width="9.90625" style="10" customWidth="1"/>
    <col min="5636" max="5636" width="10.6328125" style="10" customWidth="1"/>
    <col min="5637" max="5637" width="11.54296875" style="10" customWidth="1"/>
    <col min="5638" max="5638" width="10.453125" style="10" customWidth="1"/>
    <col min="5639" max="5639" width="9.54296875" style="10" customWidth="1"/>
    <col min="5640" max="5640" width="11.08984375" style="10" customWidth="1"/>
    <col min="5641" max="5641" width="10.90625" style="10" customWidth="1"/>
    <col min="5642" max="5642" width="8" style="10" customWidth="1"/>
    <col min="5643" max="5643" width="11" style="10" customWidth="1"/>
    <col min="5644" max="5644" width="10.36328125" style="10"/>
    <col min="5645" max="5647" width="10.6328125" style="10" customWidth="1"/>
    <col min="5648" max="5653" width="10.36328125" style="10"/>
    <col min="5654" max="5654" width="8.453125" style="10" customWidth="1"/>
    <col min="5655" max="5656" width="10.36328125" style="10"/>
    <col min="5657" max="5657" width="12.6328125" style="10" customWidth="1"/>
    <col min="5658" max="5658" width="4.6328125" style="10" customWidth="1"/>
    <col min="5659" max="5659" width="11.6328125" style="10" customWidth="1"/>
    <col min="5660" max="5888" width="10.36328125" style="10"/>
    <col min="5889" max="5889" width="3.08984375" style="10" customWidth="1"/>
    <col min="5890" max="5890" width="13.36328125" style="10" customWidth="1"/>
    <col min="5891" max="5891" width="9.90625" style="10" customWidth="1"/>
    <col min="5892" max="5892" width="10.6328125" style="10" customWidth="1"/>
    <col min="5893" max="5893" width="11.54296875" style="10" customWidth="1"/>
    <col min="5894" max="5894" width="10.453125" style="10" customWidth="1"/>
    <col min="5895" max="5895" width="9.54296875" style="10" customWidth="1"/>
    <col min="5896" max="5896" width="11.08984375" style="10" customWidth="1"/>
    <col min="5897" max="5897" width="10.90625" style="10" customWidth="1"/>
    <col min="5898" max="5898" width="8" style="10" customWidth="1"/>
    <col min="5899" max="5899" width="11" style="10" customWidth="1"/>
    <col min="5900" max="5900" width="10.36328125" style="10"/>
    <col min="5901" max="5903" width="10.6328125" style="10" customWidth="1"/>
    <col min="5904" max="5909" width="10.36328125" style="10"/>
    <col min="5910" max="5910" width="8.453125" style="10" customWidth="1"/>
    <col min="5911" max="5912" width="10.36328125" style="10"/>
    <col min="5913" max="5913" width="12.6328125" style="10" customWidth="1"/>
    <col min="5914" max="5914" width="4.6328125" style="10" customWidth="1"/>
    <col min="5915" max="5915" width="11.6328125" style="10" customWidth="1"/>
    <col min="5916" max="6144" width="10.36328125" style="10"/>
    <col min="6145" max="6145" width="3.08984375" style="10" customWidth="1"/>
    <col min="6146" max="6146" width="13.36328125" style="10" customWidth="1"/>
    <col min="6147" max="6147" width="9.90625" style="10" customWidth="1"/>
    <col min="6148" max="6148" width="10.6328125" style="10" customWidth="1"/>
    <col min="6149" max="6149" width="11.54296875" style="10" customWidth="1"/>
    <col min="6150" max="6150" width="10.453125" style="10" customWidth="1"/>
    <col min="6151" max="6151" width="9.54296875" style="10" customWidth="1"/>
    <col min="6152" max="6152" width="11.08984375" style="10" customWidth="1"/>
    <col min="6153" max="6153" width="10.90625" style="10" customWidth="1"/>
    <col min="6154" max="6154" width="8" style="10" customWidth="1"/>
    <col min="6155" max="6155" width="11" style="10" customWidth="1"/>
    <col min="6156" max="6156" width="10.36328125" style="10"/>
    <col min="6157" max="6159" width="10.6328125" style="10" customWidth="1"/>
    <col min="6160" max="6165" width="10.36328125" style="10"/>
    <col min="6166" max="6166" width="8.453125" style="10" customWidth="1"/>
    <col min="6167" max="6168" width="10.36328125" style="10"/>
    <col min="6169" max="6169" width="12.6328125" style="10" customWidth="1"/>
    <col min="6170" max="6170" width="4.6328125" style="10" customWidth="1"/>
    <col min="6171" max="6171" width="11.6328125" style="10" customWidth="1"/>
    <col min="6172" max="6400" width="10.36328125" style="10"/>
    <col min="6401" max="6401" width="3.08984375" style="10" customWidth="1"/>
    <col min="6402" max="6402" width="13.36328125" style="10" customWidth="1"/>
    <col min="6403" max="6403" width="9.90625" style="10" customWidth="1"/>
    <col min="6404" max="6404" width="10.6328125" style="10" customWidth="1"/>
    <col min="6405" max="6405" width="11.54296875" style="10" customWidth="1"/>
    <col min="6406" max="6406" width="10.453125" style="10" customWidth="1"/>
    <col min="6407" max="6407" width="9.54296875" style="10" customWidth="1"/>
    <col min="6408" max="6408" width="11.08984375" style="10" customWidth="1"/>
    <col min="6409" max="6409" width="10.90625" style="10" customWidth="1"/>
    <col min="6410" max="6410" width="8" style="10" customWidth="1"/>
    <col min="6411" max="6411" width="11" style="10" customWidth="1"/>
    <col min="6412" max="6412" width="10.36328125" style="10"/>
    <col min="6413" max="6415" width="10.6328125" style="10" customWidth="1"/>
    <col min="6416" max="6421" width="10.36328125" style="10"/>
    <col min="6422" max="6422" width="8.453125" style="10" customWidth="1"/>
    <col min="6423" max="6424" width="10.36328125" style="10"/>
    <col min="6425" max="6425" width="12.6328125" style="10" customWidth="1"/>
    <col min="6426" max="6426" width="4.6328125" style="10" customWidth="1"/>
    <col min="6427" max="6427" width="11.6328125" style="10" customWidth="1"/>
    <col min="6428" max="6656" width="10.36328125" style="10"/>
    <col min="6657" max="6657" width="3.08984375" style="10" customWidth="1"/>
    <col min="6658" max="6658" width="13.36328125" style="10" customWidth="1"/>
    <col min="6659" max="6659" width="9.90625" style="10" customWidth="1"/>
    <col min="6660" max="6660" width="10.6328125" style="10" customWidth="1"/>
    <col min="6661" max="6661" width="11.54296875" style="10" customWidth="1"/>
    <col min="6662" max="6662" width="10.453125" style="10" customWidth="1"/>
    <col min="6663" max="6663" width="9.54296875" style="10" customWidth="1"/>
    <col min="6664" max="6664" width="11.08984375" style="10" customWidth="1"/>
    <col min="6665" max="6665" width="10.90625" style="10" customWidth="1"/>
    <col min="6666" max="6666" width="8" style="10" customWidth="1"/>
    <col min="6667" max="6667" width="11" style="10" customWidth="1"/>
    <col min="6668" max="6668" width="10.36328125" style="10"/>
    <col min="6669" max="6671" width="10.6328125" style="10" customWidth="1"/>
    <col min="6672" max="6677" width="10.36328125" style="10"/>
    <col min="6678" max="6678" width="8.453125" style="10" customWidth="1"/>
    <col min="6679" max="6680" width="10.36328125" style="10"/>
    <col min="6681" max="6681" width="12.6328125" style="10" customWidth="1"/>
    <col min="6682" max="6682" width="4.6328125" style="10" customWidth="1"/>
    <col min="6683" max="6683" width="11.6328125" style="10" customWidth="1"/>
    <col min="6684" max="6912" width="10.36328125" style="10"/>
    <col min="6913" max="6913" width="3.08984375" style="10" customWidth="1"/>
    <col min="6914" max="6914" width="13.36328125" style="10" customWidth="1"/>
    <col min="6915" max="6915" width="9.90625" style="10" customWidth="1"/>
    <col min="6916" max="6916" width="10.6328125" style="10" customWidth="1"/>
    <col min="6917" max="6917" width="11.54296875" style="10" customWidth="1"/>
    <col min="6918" max="6918" width="10.453125" style="10" customWidth="1"/>
    <col min="6919" max="6919" width="9.54296875" style="10" customWidth="1"/>
    <col min="6920" max="6920" width="11.08984375" style="10" customWidth="1"/>
    <col min="6921" max="6921" width="10.90625" style="10" customWidth="1"/>
    <col min="6922" max="6922" width="8" style="10" customWidth="1"/>
    <col min="6923" max="6923" width="11" style="10" customWidth="1"/>
    <col min="6924" max="6924" width="10.36328125" style="10"/>
    <col min="6925" max="6927" width="10.6328125" style="10" customWidth="1"/>
    <col min="6928" max="6933" width="10.36328125" style="10"/>
    <col min="6934" max="6934" width="8.453125" style="10" customWidth="1"/>
    <col min="6935" max="6936" width="10.36328125" style="10"/>
    <col min="6937" max="6937" width="12.6328125" style="10" customWidth="1"/>
    <col min="6938" max="6938" width="4.6328125" style="10" customWidth="1"/>
    <col min="6939" max="6939" width="11.6328125" style="10" customWidth="1"/>
    <col min="6940" max="7168" width="10.36328125" style="10"/>
    <col min="7169" max="7169" width="3.08984375" style="10" customWidth="1"/>
    <col min="7170" max="7170" width="13.36328125" style="10" customWidth="1"/>
    <col min="7171" max="7171" width="9.90625" style="10" customWidth="1"/>
    <col min="7172" max="7172" width="10.6328125" style="10" customWidth="1"/>
    <col min="7173" max="7173" width="11.54296875" style="10" customWidth="1"/>
    <col min="7174" max="7174" width="10.453125" style="10" customWidth="1"/>
    <col min="7175" max="7175" width="9.54296875" style="10" customWidth="1"/>
    <col min="7176" max="7176" width="11.08984375" style="10" customWidth="1"/>
    <col min="7177" max="7177" width="10.90625" style="10" customWidth="1"/>
    <col min="7178" max="7178" width="8" style="10" customWidth="1"/>
    <col min="7179" max="7179" width="11" style="10" customWidth="1"/>
    <col min="7180" max="7180" width="10.36328125" style="10"/>
    <col min="7181" max="7183" width="10.6328125" style="10" customWidth="1"/>
    <col min="7184" max="7189" width="10.36328125" style="10"/>
    <col min="7190" max="7190" width="8.453125" style="10" customWidth="1"/>
    <col min="7191" max="7192" width="10.36328125" style="10"/>
    <col min="7193" max="7193" width="12.6328125" style="10" customWidth="1"/>
    <col min="7194" max="7194" width="4.6328125" style="10" customWidth="1"/>
    <col min="7195" max="7195" width="11.6328125" style="10" customWidth="1"/>
    <col min="7196" max="7424" width="10.36328125" style="10"/>
    <col min="7425" max="7425" width="3.08984375" style="10" customWidth="1"/>
    <col min="7426" max="7426" width="13.36328125" style="10" customWidth="1"/>
    <col min="7427" max="7427" width="9.90625" style="10" customWidth="1"/>
    <col min="7428" max="7428" width="10.6328125" style="10" customWidth="1"/>
    <col min="7429" max="7429" width="11.54296875" style="10" customWidth="1"/>
    <col min="7430" max="7430" width="10.453125" style="10" customWidth="1"/>
    <col min="7431" max="7431" width="9.54296875" style="10" customWidth="1"/>
    <col min="7432" max="7432" width="11.08984375" style="10" customWidth="1"/>
    <col min="7433" max="7433" width="10.90625" style="10" customWidth="1"/>
    <col min="7434" max="7434" width="8" style="10" customWidth="1"/>
    <col min="7435" max="7435" width="11" style="10" customWidth="1"/>
    <col min="7436" max="7436" width="10.36328125" style="10"/>
    <col min="7437" max="7439" width="10.6328125" style="10" customWidth="1"/>
    <col min="7440" max="7445" width="10.36328125" style="10"/>
    <col min="7446" max="7446" width="8.453125" style="10" customWidth="1"/>
    <col min="7447" max="7448" width="10.36328125" style="10"/>
    <col min="7449" max="7449" width="12.6328125" style="10" customWidth="1"/>
    <col min="7450" max="7450" width="4.6328125" style="10" customWidth="1"/>
    <col min="7451" max="7451" width="11.6328125" style="10" customWidth="1"/>
    <col min="7452" max="7680" width="10.36328125" style="10"/>
    <col min="7681" max="7681" width="3.08984375" style="10" customWidth="1"/>
    <col min="7682" max="7682" width="13.36328125" style="10" customWidth="1"/>
    <col min="7683" max="7683" width="9.90625" style="10" customWidth="1"/>
    <col min="7684" max="7684" width="10.6328125" style="10" customWidth="1"/>
    <col min="7685" max="7685" width="11.54296875" style="10" customWidth="1"/>
    <col min="7686" max="7686" width="10.453125" style="10" customWidth="1"/>
    <col min="7687" max="7687" width="9.54296875" style="10" customWidth="1"/>
    <col min="7688" max="7688" width="11.08984375" style="10" customWidth="1"/>
    <col min="7689" max="7689" width="10.90625" style="10" customWidth="1"/>
    <col min="7690" max="7690" width="8" style="10" customWidth="1"/>
    <col min="7691" max="7691" width="11" style="10" customWidth="1"/>
    <col min="7692" max="7692" width="10.36328125" style="10"/>
    <col min="7693" max="7695" width="10.6328125" style="10" customWidth="1"/>
    <col min="7696" max="7701" width="10.36328125" style="10"/>
    <col min="7702" max="7702" width="8.453125" style="10" customWidth="1"/>
    <col min="7703" max="7704" width="10.36328125" style="10"/>
    <col min="7705" max="7705" width="12.6328125" style="10" customWidth="1"/>
    <col min="7706" max="7706" width="4.6328125" style="10" customWidth="1"/>
    <col min="7707" max="7707" width="11.6328125" style="10" customWidth="1"/>
    <col min="7708" max="7936" width="10.36328125" style="10"/>
    <col min="7937" max="7937" width="3.08984375" style="10" customWidth="1"/>
    <col min="7938" max="7938" width="13.36328125" style="10" customWidth="1"/>
    <col min="7939" max="7939" width="9.90625" style="10" customWidth="1"/>
    <col min="7940" max="7940" width="10.6328125" style="10" customWidth="1"/>
    <col min="7941" max="7941" width="11.54296875" style="10" customWidth="1"/>
    <col min="7942" max="7942" width="10.453125" style="10" customWidth="1"/>
    <col min="7943" max="7943" width="9.54296875" style="10" customWidth="1"/>
    <col min="7944" max="7944" width="11.08984375" style="10" customWidth="1"/>
    <col min="7945" max="7945" width="10.90625" style="10" customWidth="1"/>
    <col min="7946" max="7946" width="8" style="10" customWidth="1"/>
    <col min="7947" max="7947" width="11" style="10" customWidth="1"/>
    <col min="7948" max="7948" width="10.36328125" style="10"/>
    <col min="7949" max="7951" width="10.6328125" style="10" customWidth="1"/>
    <col min="7952" max="7957" width="10.36328125" style="10"/>
    <col min="7958" max="7958" width="8.453125" style="10" customWidth="1"/>
    <col min="7959" max="7960" width="10.36328125" style="10"/>
    <col min="7961" max="7961" width="12.6328125" style="10" customWidth="1"/>
    <col min="7962" max="7962" width="4.6328125" style="10" customWidth="1"/>
    <col min="7963" max="7963" width="11.6328125" style="10" customWidth="1"/>
    <col min="7964" max="8192" width="10.36328125" style="10"/>
    <col min="8193" max="8193" width="3.08984375" style="10" customWidth="1"/>
    <col min="8194" max="8194" width="13.36328125" style="10" customWidth="1"/>
    <col min="8195" max="8195" width="9.90625" style="10" customWidth="1"/>
    <col min="8196" max="8196" width="10.6328125" style="10" customWidth="1"/>
    <col min="8197" max="8197" width="11.54296875" style="10" customWidth="1"/>
    <col min="8198" max="8198" width="10.453125" style="10" customWidth="1"/>
    <col min="8199" max="8199" width="9.54296875" style="10" customWidth="1"/>
    <col min="8200" max="8200" width="11.08984375" style="10" customWidth="1"/>
    <col min="8201" max="8201" width="10.90625" style="10" customWidth="1"/>
    <col min="8202" max="8202" width="8" style="10" customWidth="1"/>
    <col min="8203" max="8203" width="11" style="10" customWidth="1"/>
    <col min="8204" max="8204" width="10.36328125" style="10"/>
    <col min="8205" max="8207" width="10.6328125" style="10" customWidth="1"/>
    <col min="8208" max="8213" width="10.36328125" style="10"/>
    <col min="8214" max="8214" width="8.453125" style="10" customWidth="1"/>
    <col min="8215" max="8216" width="10.36328125" style="10"/>
    <col min="8217" max="8217" width="12.6328125" style="10" customWidth="1"/>
    <col min="8218" max="8218" width="4.6328125" style="10" customWidth="1"/>
    <col min="8219" max="8219" width="11.6328125" style="10" customWidth="1"/>
    <col min="8220" max="8448" width="10.36328125" style="10"/>
    <col min="8449" max="8449" width="3.08984375" style="10" customWidth="1"/>
    <col min="8450" max="8450" width="13.36328125" style="10" customWidth="1"/>
    <col min="8451" max="8451" width="9.90625" style="10" customWidth="1"/>
    <col min="8452" max="8452" width="10.6328125" style="10" customWidth="1"/>
    <col min="8453" max="8453" width="11.54296875" style="10" customWidth="1"/>
    <col min="8454" max="8454" width="10.453125" style="10" customWidth="1"/>
    <col min="8455" max="8455" width="9.54296875" style="10" customWidth="1"/>
    <col min="8456" max="8456" width="11.08984375" style="10" customWidth="1"/>
    <col min="8457" max="8457" width="10.90625" style="10" customWidth="1"/>
    <col min="8458" max="8458" width="8" style="10" customWidth="1"/>
    <col min="8459" max="8459" width="11" style="10" customWidth="1"/>
    <col min="8460" max="8460" width="10.36328125" style="10"/>
    <col min="8461" max="8463" width="10.6328125" style="10" customWidth="1"/>
    <col min="8464" max="8469" width="10.36328125" style="10"/>
    <col min="8470" max="8470" width="8.453125" style="10" customWidth="1"/>
    <col min="8471" max="8472" width="10.36328125" style="10"/>
    <col min="8473" max="8473" width="12.6328125" style="10" customWidth="1"/>
    <col min="8474" max="8474" width="4.6328125" style="10" customWidth="1"/>
    <col min="8475" max="8475" width="11.6328125" style="10" customWidth="1"/>
    <col min="8476" max="8704" width="10.36328125" style="10"/>
    <col min="8705" max="8705" width="3.08984375" style="10" customWidth="1"/>
    <col min="8706" max="8706" width="13.36328125" style="10" customWidth="1"/>
    <col min="8707" max="8707" width="9.90625" style="10" customWidth="1"/>
    <col min="8708" max="8708" width="10.6328125" style="10" customWidth="1"/>
    <col min="8709" max="8709" width="11.54296875" style="10" customWidth="1"/>
    <col min="8710" max="8710" width="10.453125" style="10" customWidth="1"/>
    <col min="8711" max="8711" width="9.54296875" style="10" customWidth="1"/>
    <col min="8712" max="8712" width="11.08984375" style="10" customWidth="1"/>
    <col min="8713" max="8713" width="10.90625" style="10" customWidth="1"/>
    <col min="8714" max="8714" width="8" style="10" customWidth="1"/>
    <col min="8715" max="8715" width="11" style="10" customWidth="1"/>
    <col min="8716" max="8716" width="10.36328125" style="10"/>
    <col min="8717" max="8719" width="10.6328125" style="10" customWidth="1"/>
    <col min="8720" max="8725" width="10.36328125" style="10"/>
    <col min="8726" max="8726" width="8.453125" style="10" customWidth="1"/>
    <col min="8727" max="8728" width="10.36328125" style="10"/>
    <col min="8729" max="8729" width="12.6328125" style="10" customWidth="1"/>
    <col min="8730" max="8730" width="4.6328125" style="10" customWidth="1"/>
    <col min="8731" max="8731" width="11.6328125" style="10" customWidth="1"/>
    <col min="8732" max="8960" width="10.36328125" style="10"/>
    <col min="8961" max="8961" width="3.08984375" style="10" customWidth="1"/>
    <col min="8962" max="8962" width="13.36328125" style="10" customWidth="1"/>
    <col min="8963" max="8963" width="9.90625" style="10" customWidth="1"/>
    <col min="8964" max="8964" width="10.6328125" style="10" customWidth="1"/>
    <col min="8965" max="8965" width="11.54296875" style="10" customWidth="1"/>
    <col min="8966" max="8966" width="10.453125" style="10" customWidth="1"/>
    <col min="8967" max="8967" width="9.54296875" style="10" customWidth="1"/>
    <col min="8968" max="8968" width="11.08984375" style="10" customWidth="1"/>
    <col min="8969" max="8969" width="10.90625" style="10" customWidth="1"/>
    <col min="8970" max="8970" width="8" style="10" customWidth="1"/>
    <col min="8971" max="8971" width="11" style="10" customWidth="1"/>
    <col min="8972" max="8972" width="10.36328125" style="10"/>
    <col min="8973" max="8975" width="10.6328125" style="10" customWidth="1"/>
    <col min="8976" max="8981" width="10.36328125" style="10"/>
    <col min="8982" max="8982" width="8.453125" style="10" customWidth="1"/>
    <col min="8983" max="8984" width="10.36328125" style="10"/>
    <col min="8985" max="8985" width="12.6328125" style="10" customWidth="1"/>
    <col min="8986" max="8986" width="4.6328125" style="10" customWidth="1"/>
    <col min="8987" max="8987" width="11.6328125" style="10" customWidth="1"/>
    <col min="8988" max="9216" width="10.36328125" style="10"/>
    <col min="9217" max="9217" width="3.08984375" style="10" customWidth="1"/>
    <col min="9218" max="9218" width="13.36328125" style="10" customWidth="1"/>
    <col min="9219" max="9219" width="9.90625" style="10" customWidth="1"/>
    <col min="9220" max="9220" width="10.6328125" style="10" customWidth="1"/>
    <col min="9221" max="9221" width="11.54296875" style="10" customWidth="1"/>
    <col min="9222" max="9222" width="10.453125" style="10" customWidth="1"/>
    <col min="9223" max="9223" width="9.54296875" style="10" customWidth="1"/>
    <col min="9224" max="9224" width="11.08984375" style="10" customWidth="1"/>
    <col min="9225" max="9225" width="10.90625" style="10" customWidth="1"/>
    <col min="9226" max="9226" width="8" style="10" customWidth="1"/>
    <col min="9227" max="9227" width="11" style="10" customWidth="1"/>
    <col min="9228" max="9228" width="10.36328125" style="10"/>
    <col min="9229" max="9231" width="10.6328125" style="10" customWidth="1"/>
    <col min="9232" max="9237" width="10.36328125" style="10"/>
    <col min="9238" max="9238" width="8.453125" style="10" customWidth="1"/>
    <col min="9239" max="9240" width="10.36328125" style="10"/>
    <col min="9241" max="9241" width="12.6328125" style="10" customWidth="1"/>
    <col min="9242" max="9242" width="4.6328125" style="10" customWidth="1"/>
    <col min="9243" max="9243" width="11.6328125" style="10" customWidth="1"/>
    <col min="9244" max="9472" width="10.36328125" style="10"/>
    <col min="9473" max="9473" width="3.08984375" style="10" customWidth="1"/>
    <col min="9474" max="9474" width="13.36328125" style="10" customWidth="1"/>
    <col min="9475" max="9475" width="9.90625" style="10" customWidth="1"/>
    <col min="9476" max="9476" width="10.6328125" style="10" customWidth="1"/>
    <col min="9477" max="9477" width="11.54296875" style="10" customWidth="1"/>
    <col min="9478" max="9478" width="10.453125" style="10" customWidth="1"/>
    <col min="9479" max="9479" width="9.54296875" style="10" customWidth="1"/>
    <col min="9480" max="9480" width="11.08984375" style="10" customWidth="1"/>
    <col min="9481" max="9481" width="10.90625" style="10" customWidth="1"/>
    <col min="9482" max="9482" width="8" style="10" customWidth="1"/>
    <col min="9483" max="9483" width="11" style="10" customWidth="1"/>
    <col min="9484" max="9484" width="10.36328125" style="10"/>
    <col min="9485" max="9487" width="10.6328125" style="10" customWidth="1"/>
    <col min="9488" max="9493" width="10.36328125" style="10"/>
    <col min="9494" max="9494" width="8.453125" style="10" customWidth="1"/>
    <col min="9495" max="9496" width="10.36328125" style="10"/>
    <col min="9497" max="9497" width="12.6328125" style="10" customWidth="1"/>
    <col min="9498" max="9498" width="4.6328125" style="10" customWidth="1"/>
    <col min="9499" max="9499" width="11.6328125" style="10" customWidth="1"/>
    <col min="9500" max="9728" width="10.36328125" style="10"/>
    <col min="9729" max="9729" width="3.08984375" style="10" customWidth="1"/>
    <col min="9730" max="9730" width="13.36328125" style="10" customWidth="1"/>
    <col min="9731" max="9731" width="9.90625" style="10" customWidth="1"/>
    <col min="9732" max="9732" width="10.6328125" style="10" customWidth="1"/>
    <col min="9733" max="9733" width="11.54296875" style="10" customWidth="1"/>
    <col min="9734" max="9734" width="10.453125" style="10" customWidth="1"/>
    <col min="9735" max="9735" width="9.54296875" style="10" customWidth="1"/>
    <col min="9736" max="9736" width="11.08984375" style="10" customWidth="1"/>
    <col min="9737" max="9737" width="10.90625" style="10" customWidth="1"/>
    <col min="9738" max="9738" width="8" style="10" customWidth="1"/>
    <col min="9739" max="9739" width="11" style="10" customWidth="1"/>
    <col min="9740" max="9740" width="10.36328125" style="10"/>
    <col min="9741" max="9743" width="10.6328125" style="10" customWidth="1"/>
    <col min="9744" max="9749" width="10.36328125" style="10"/>
    <col min="9750" max="9750" width="8.453125" style="10" customWidth="1"/>
    <col min="9751" max="9752" width="10.36328125" style="10"/>
    <col min="9753" max="9753" width="12.6328125" style="10" customWidth="1"/>
    <col min="9754" max="9754" width="4.6328125" style="10" customWidth="1"/>
    <col min="9755" max="9755" width="11.6328125" style="10" customWidth="1"/>
    <col min="9756" max="9984" width="10.36328125" style="10"/>
    <col min="9985" max="9985" width="3.08984375" style="10" customWidth="1"/>
    <col min="9986" max="9986" width="13.36328125" style="10" customWidth="1"/>
    <col min="9987" max="9987" width="9.90625" style="10" customWidth="1"/>
    <col min="9988" max="9988" width="10.6328125" style="10" customWidth="1"/>
    <col min="9989" max="9989" width="11.54296875" style="10" customWidth="1"/>
    <col min="9990" max="9990" width="10.453125" style="10" customWidth="1"/>
    <col min="9991" max="9991" width="9.54296875" style="10" customWidth="1"/>
    <col min="9992" max="9992" width="11.08984375" style="10" customWidth="1"/>
    <col min="9993" max="9993" width="10.90625" style="10" customWidth="1"/>
    <col min="9994" max="9994" width="8" style="10" customWidth="1"/>
    <col min="9995" max="9995" width="11" style="10" customWidth="1"/>
    <col min="9996" max="9996" width="10.36328125" style="10"/>
    <col min="9997" max="9999" width="10.6328125" style="10" customWidth="1"/>
    <col min="10000" max="10005" width="10.36328125" style="10"/>
    <col min="10006" max="10006" width="8.453125" style="10" customWidth="1"/>
    <col min="10007" max="10008" width="10.36328125" style="10"/>
    <col min="10009" max="10009" width="12.6328125" style="10" customWidth="1"/>
    <col min="10010" max="10010" width="4.6328125" style="10" customWidth="1"/>
    <col min="10011" max="10011" width="11.6328125" style="10" customWidth="1"/>
    <col min="10012" max="10240" width="10.36328125" style="10"/>
    <col min="10241" max="10241" width="3.08984375" style="10" customWidth="1"/>
    <col min="10242" max="10242" width="13.36328125" style="10" customWidth="1"/>
    <col min="10243" max="10243" width="9.90625" style="10" customWidth="1"/>
    <col min="10244" max="10244" width="10.6328125" style="10" customWidth="1"/>
    <col min="10245" max="10245" width="11.54296875" style="10" customWidth="1"/>
    <col min="10246" max="10246" width="10.453125" style="10" customWidth="1"/>
    <col min="10247" max="10247" width="9.54296875" style="10" customWidth="1"/>
    <col min="10248" max="10248" width="11.08984375" style="10" customWidth="1"/>
    <col min="10249" max="10249" width="10.90625" style="10" customWidth="1"/>
    <col min="10250" max="10250" width="8" style="10" customWidth="1"/>
    <col min="10251" max="10251" width="11" style="10" customWidth="1"/>
    <col min="10252" max="10252" width="10.36328125" style="10"/>
    <col min="10253" max="10255" width="10.6328125" style="10" customWidth="1"/>
    <col min="10256" max="10261" width="10.36328125" style="10"/>
    <col min="10262" max="10262" width="8.453125" style="10" customWidth="1"/>
    <col min="10263" max="10264" width="10.36328125" style="10"/>
    <col min="10265" max="10265" width="12.6328125" style="10" customWidth="1"/>
    <col min="10266" max="10266" width="4.6328125" style="10" customWidth="1"/>
    <col min="10267" max="10267" width="11.6328125" style="10" customWidth="1"/>
    <col min="10268" max="10496" width="10.36328125" style="10"/>
    <col min="10497" max="10497" width="3.08984375" style="10" customWidth="1"/>
    <col min="10498" max="10498" width="13.36328125" style="10" customWidth="1"/>
    <col min="10499" max="10499" width="9.90625" style="10" customWidth="1"/>
    <col min="10500" max="10500" width="10.6328125" style="10" customWidth="1"/>
    <col min="10501" max="10501" width="11.54296875" style="10" customWidth="1"/>
    <col min="10502" max="10502" width="10.453125" style="10" customWidth="1"/>
    <col min="10503" max="10503" width="9.54296875" style="10" customWidth="1"/>
    <col min="10504" max="10504" width="11.08984375" style="10" customWidth="1"/>
    <col min="10505" max="10505" width="10.90625" style="10" customWidth="1"/>
    <col min="10506" max="10506" width="8" style="10" customWidth="1"/>
    <col min="10507" max="10507" width="11" style="10" customWidth="1"/>
    <col min="10508" max="10508" width="10.36328125" style="10"/>
    <col min="10509" max="10511" width="10.6328125" style="10" customWidth="1"/>
    <col min="10512" max="10517" width="10.36328125" style="10"/>
    <col min="10518" max="10518" width="8.453125" style="10" customWidth="1"/>
    <col min="10519" max="10520" width="10.36328125" style="10"/>
    <col min="10521" max="10521" width="12.6328125" style="10" customWidth="1"/>
    <col min="10522" max="10522" width="4.6328125" style="10" customWidth="1"/>
    <col min="10523" max="10523" width="11.6328125" style="10" customWidth="1"/>
    <col min="10524" max="10752" width="10.36328125" style="10"/>
    <col min="10753" max="10753" width="3.08984375" style="10" customWidth="1"/>
    <col min="10754" max="10754" width="13.36328125" style="10" customWidth="1"/>
    <col min="10755" max="10755" width="9.90625" style="10" customWidth="1"/>
    <col min="10756" max="10756" width="10.6328125" style="10" customWidth="1"/>
    <col min="10757" max="10757" width="11.54296875" style="10" customWidth="1"/>
    <col min="10758" max="10758" width="10.453125" style="10" customWidth="1"/>
    <col min="10759" max="10759" width="9.54296875" style="10" customWidth="1"/>
    <col min="10760" max="10760" width="11.08984375" style="10" customWidth="1"/>
    <col min="10761" max="10761" width="10.90625" style="10" customWidth="1"/>
    <col min="10762" max="10762" width="8" style="10" customWidth="1"/>
    <col min="10763" max="10763" width="11" style="10" customWidth="1"/>
    <col min="10764" max="10764" width="10.36328125" style="10"/>
    <col min="10765" max="10767" width="10.6328125" style="10" customWidth="1"/>
    <col min="10768" max="10773" width="10.36328125" style="10"/>
    <col min="10774" max="10774" width="8.453125" style="10" customWidth="1"/>
    <col min="10775" max="10776" width="10.36328125" style="10"/>
    <col min="10777" max="10777" width="12.6328125" style="10" customWidth="1"/>
    <col min="10778" max="10778" width="4.6328125" style="10" customWidth="1"/>
    <col min="10779" max="10779" width="11.6328125" style="10" customWidth="1"/>
    <col min="10780" max="11008" width="10.36328125" style="10"/>
    <col min="11009" max="11009" width="3.08984375" style="10" customWidth="1"/>
    <col min="11010" max="11010" width="13.36328125" style="10" customWidth="1"/>
    <col min="11011" max="11011" width="9.90625" style="10" customWidth="1"/>
    <col min="11012" max="11012" width="10.6328125" style="10" customWidth="1"/>
    <col min="11013" max="11013" width="11.54296875" style="10" customWidth="1"/>
    <col min="11014" max="11014" width="10.453125" style="10" customWidth="1"/>
    <col min="11015" max="11015" width="9.54296875" style="10" customWidth="1"/>
    <col min="11016" max="11016" width="11.08984375" style="10" customWidth="1"/>
    <col min="11017" max="11017" width="10.90625" style="10" customWidth="1"/>
    <col min="11018" max="11018" width="8" style="10" customWidth="1"/>
    <col min="11019" max="11019" width="11" style="10" customWidth="1"/>
    <col min="11020" max="11020" width="10.36328125" style="10"/>
    <col min="11021" max="11023" width="10.6328125" style="10" customWidth="1"/>
    <col min="11024" max="11029" width="10.36328125" style="10"/>
    <col min="11030" max="11030" width="8.453125" style="10" customWidth="1"/>
    <col min="11031" max="11032" width="10.36328125" style="10"/>
    <col min="11033" max="11033" width="12.6328125" style="10" customWidth="1"/>
    <col min="11034" max="11034" width="4.6328125" style="10" customWidth="1"/>
    <col min="11035" max="11035" width="11.6328125" style="10" customWidth="1"/>
    <col min="11036" max="11264" width="10.36328125" style="10"/>
    <col min="11265" max="11265" width="3.08984375" style="10" customWidth="1"/>
    <col min="11266" max="11266" width="13.36328125" style="10" customWidth="1"/>
    <col min="11267" max="11267" width="9.90625" style="10" customWidth="1"/>
    <col min="11268" max="11268" width="10.6328125" style="10" customWidth="1"/>
    <col min="11269" max="11269" width="11.54296875" style="10" customWidth="1"/>
    <col min="11270" max="11270" width="10.453125" style="10" customWidth="1"/>
    <col min="11271" max="11271" width="9.54296875" style="10" customWidth="1"/>
    <col min="11272" max="11272" width="11.08984375" style="10" customWidth="1"/>
    <col min="11273" max="11273" width="10.90625" style="10" customWidth="1"/>
    <col min="11274" max="11274" width="8" style="10" customWidth="1"/>
    <col min="11275" max="11275" width="11" style="10" customWidth="1"/>
    <col min="11276" max="11276" width="10.36328125" style="10"/>
    <col min="11277" max="11279" width="10.6328125" style="10" customWidth="1"/>
    <col min="11280" max="11285" width="10.36328125" style="10"/>
    <col min="11286" max="11286" width="8.453125" style="10" customWidth="1"/>
    <col min="11287" max="11288" width="10.36328125" style="10"/>
    <col min="11289" max="11289" width="12.6328125" style="10" customWidth="1"/>
    <col min="11290" max="11290" width="4.6328125" style="10" customWidth="1"/>
    <col min="11291" max="11291" width="11.6328125" style="10" customWidth="1"/>
    <col min="11292" max="11520" width="10.36328125" style="10"/>
    <col min="11521" max="11521" width="3.08984375" style="10" customWidth="1"/>
    <col min="11522" max="11522" width="13.36328125" style="10" customWidth="1"/>
    <col min="11523" max="11523" width="9.90625" style="10" customWidth="1"/>
    <col min="11524" max="11524" width="10.6328125" style="10" customWidth="1"/>
    <col min="11525" max="11525" width="11.54296875" style="10" customWidth="1"/>
    <col min="11526" max="11526" width="10.453125" style="10" customWidth="1"/>
    <col min="11527" max="11527" width="9.54296875" style="10" customWidth="1"/>
    <col min="11528" max="11528" width="11.08984375" style="10" customWidth="1"/>
    <col min="11529" max="11529" width="10.90625" style="10" customWidth="1"/>
    <col min="11530" max="11530" width="8" style="10" customWidth="1"/>
    <col min="11531" max="11531" width="11" style="10" customWidth="1"/>
    <col min="11532" max="11532" width="10.36328125" style="10"/>
    <col min="11533" max="11535" width="10.6328125" style="10" customWidth="1"/>
    <col min="11536" max="11541" width="10.36328125" style="10"/>
    <col min="11542" max="11542" width="8.453125" style="10" customWidth="1"/>
    <col min="11543" max="11544" width="10.36328125" style="10"/>
    <col min="11545" max="11545" width="12.6328125" style="10" customWidth="1"/>
    <col min="11546" max="11546" width="4.6328125" style="10" customWidth="1"/>
    <col min="11547" max="11547" width="11.6328125" style="10" customWidth="1"/>
    <col min="11548" max="11776" width="10.36328125" style="10"/>
    <col min="11777" max="11777" width="3.08984375" style="10" customWidth="1"/>
    <col min="11778" max="11778" width="13.36328125" style="10" customWidth="1"/>
    <col min="11779" max="11779" width="9.90625" style="10" customWidth="1"/>
    <col min="11780" max="11780" width="10.6328125" style="10" customWidth="1"/>
    <col min="11781" max="11781" width="11.54296875" style="10" customWidth="1"/>
    <col min="11782" max="11782" width="10.453125" style="10" customWidth="1"/>
    <col min="11783" max="11783" width="9.54296875" style="10" customWidth="1"/>
    <col min="11784" max="11784" width="11.08984375" style="10" customWidth="1"/>
    <col min="11785" max="11785" width="10.90625" style="10" customWidth="1"/>
    <col min="11786" max="11786" width="8" style="10" customWidth="1"/>
    <col min="11787" max="11787" width="11" style="10" customWidth="1"/>
    <col min="11788" max="11788" width="10.36328125" style="10"/>
    <col min="11789" max="11791" width="10.6328125" style="10" customWidth="1"/>
    <col min="11792" max="11797" width="10.36328125" style="10"/>
    <col min="11798" max="11798" width="8.453125" style="10" customWidth="1"/>
    <col min="11799" max="11800" width="10.36328125" style="10"/>
    <col min="11801" max="11801" width="12.6328125" style="10" customWidth="1"/>
    <col min="11802" max="11802" width="4.6328125" style="10" customWidth="1"/>
    <col min="11803" max="11803" width="11.6328125" style="10" customWidth="1"/>
    <col min="11804" max="12032" width="10.36328125" style="10"/>
    <col min="12033" max="12033" width="3.08984375" style="10" customWidth="1"/>
    <col min="12034" max="12034" width="13.36328125" style="10" customWidth="1"/>
    <col min="12035" max="12035" width="9.90625" style="10" customWidth="1"/>
    <col min="12036" max="12036" width="10.6328125" style="10" customWidth="1"/>
    <col min="12037" max="12037" width="11.54296875" style="10" customWidth="1"/>
    <col min="12038" max="12038" width="10.453125" style="10" customWidth="1"/>
    <col min="12039" max="12039" width="9.54296875" style="10" customWidth="1"/>
    <col min="12040" max="12040" width="11.08984375" style="10" customWidth="1"/>
    <col min="12041" max="12041" width="10.90625" style="10" customWidth="1"/>
    <col min="12042" max="12042" width="8" style="10" customWidth="1"/>
    <col min="12043" max="12043" width="11" style="10" customWidth="1"/>
    <col min="12044" max="12044" width="10.36328125" style="10"/>
    <col min="12045" max="12047" width="10.6328125" style="10" customWidth="1"/>
    <col min="12048" max="12053" width="10.36328125" style="10"/>
    <col min="12054" max="12054" width="8.453125" style="10" customWidth="1"/>
    <col min="12055" max="12056" width="10.36328125" style="10"/>
    <col min="12057" max="12057" width="12.6328125" style="10" customWidth="1"/>
    <col min="12058" max="12058" width="4.6328125" style="10" customWidth="1"/>
    <col min="12059" max="12059" width="11.6328125" style="10" customWidth="1"/>
    <col min="12060" max="12288" width="10.36328125" style="10"/>
    <col min="12289" max="12289" width="3.08984375" style="10" customWidth="1"/>
    <col min="12290" max="12290" width="13.36328125" style="10" customWidth="1"/>
    <col min="12291" max="12291" width="9.90625" style="10" customWidth="1"/>
    <col min="12292" max="12292" width="10.6328125" style="10" customWidth="1"/>
    <col min="12293" max="12293" width="11.54296875" style="10" customWidth="1"/>
    <col min="12294" max="12294" width="10.453125" style="10" customWidth="1"/>
    <col min="12295" max="12295" width="9.54296875" style="10" customWidth="1"/>
    <col min="12296" max="12296" width="11.08984375" style="10" customWidth="1"/>
    <col min="12297" max="12297" width="10.90625" style="10" customWidth="1"/>
    <col min="12298" max="12298" width="8" style="10" customWidth="1"/>
    <col min="12299" max="12299" width="11" style="10" customWidth="1"/>
    <col min="12300" max="12300" width="10.36328125" style="10"/>
    <col min="12301" max="12303" width="10.6328125" style="10" customWidth="1"/>
    <col min="12304" max="12309" width="10.36328125" style="10"/>
    <col min="12310" max="12310" width="8.453125" style="10" customWidth="1"/>
    <col min="12311" max="12312" width="10.36328125" style="10"/>
    <col min="12313" max="12313" width="12.6328125" style="10" customWidth="1"/>
    <col min="12314" max="12314" width="4.6328125" style="10" customWidth="1"/>
    <col min="12315" max="12315" width="11.6328125" style="10" customWidth="1"/>
    <col min="12316" max="12544" width="10.36328125" style="10"/>
    <col min="12545" max="12545" width="3.08984375" style="10" customWidth="1"/>
    <col min="12546" max="12546" width="13.36328125" style="10" customWidth="1"/>
    <col min="12547" max="12547" width="9.90625" style="10" customWidth="1"/>
    <col min="12548" max="12548" width="10.6328125" style="10" customWidth="1"/>
    <col min="12549" max="12549" width="11.54296875" style="10" customWidth="1"/>
    <col min="12550" max="12550" width="10.453125" style="10" customWidth="1"/>
    <col min="12551" max="12551" width="9.54296875" style="10" customWidth="1"/>
    <col min="12552" max="12552" width="11.08984375" style="10" customWidth="1"/>
    <col min="12553" max="12553" width="10.90625" style="10" customWidth="1"/>
    <col min="12554" max="12554" width="8" style="10" customWidth="1"/>
    <col min="12555" max="12555" width="11" style="10" customWidth="1"/>
    <col min="12556" max="12556" width="10.36328125" style="10"/>
    <col min="12557" max="12559" width="10.6328125" style="10" customWidth="1"/>
    <col min="12560" max="12565" width="10.36328125" style="10"/>
    <col min="12566" max="12566" width="8.453125" style="10" customWidth="1"/>
    <col min="12567" max="12568" width="10.36328125" style="10"/>
    <col min="12569" max="12569" width="12.6328125" style="10" customWidth="1"/>
    <col min="12570" max="12570" width="4.6328125" style="10" customWidth="1"/>
    <col min="12571" max="12571" width="11.6328125" style="10" customWidth="1"/>
    <col min="12572" max="12800" width="10.36328125" style="10"/>
    <col min="12801" max="12801" width="3.08984375" style="10" customWidth="1"/>
    <col min="12802" max="12802" width="13.36328125" style="10" customWidth="1"/>
    <col min="12803" max="12803" width="9.90625" style="10" customWidth="1"/>
    <col min="12804" max="12804" width="10.6328125" style="10" customWidth="1"/>
    <col min="12805" max="12805" width="11.54296875" style="10" customWidth="1"/>
    <col min="12806" max="12806" width="10.453125" style="10" customWidth="1"/>
    <col min="12807" max="12807" width="9.54296875" style="10" customWidth="1"/>
    <col min="12808" max="12808" width="11.08984375" style="10" customWidth="1"/>
    <col min="12809" max="12809" width="10.90625" style="10" customWidth="1"/>
    <col min="12810" max="12810" width="8" style="10" customWidth="1"/>
    <col min="12811" max="12811" width="11" style="10" customWidth="1"/>
    <col min="12812" max="12812" width="10.36328125" style="10"/>
    <col min="12813" max="12815" width="10.6328125" style="10" customWidth="1"/>
    <col min="12816" max="12821" width="10.36328125" style="10"/>
    <col min="12822" max="12822" width="8.453125" style="10" customWidth="1"/>
    <col min="12823" max="12824" width="10.36328125" style="10"/>
    <col min="12825" max="12825" width="12.6328125" style="10" customWidth="1"/>
    <col min="12826" max="12826" width="4.6328125" style="10" customWidth="1"/>
    <col min="12827" max="12827" width="11.6328125" style="10" customWidth="1"/>
    <col min="12828" max="13056" width="10.36328125" style="10"/>
    <col min="13057" max="13057" width="3.08984375" style="10" customWidth="1"/>
    <col min="13058" max="13058" width="13.36328125" style="10" customWidth="1"/>
    <col min="13059" max="13059" width="9.90625" style="10" customWidth="1"/>
    <col min="13060" max="13060" width="10.6328125" style="10" customWidth="1"/>
    <col min="13061" max="13061" width="11.54296875" style="10" customWidth="1"/>
    <col min="13062" max="13062" width="10.453125" style="10" customWidth="1"/>
    <col min="13063" max="13063" width="9.54296875" style="10" customWidth="1"/>
    <col min="13064" max="13064" width="11.08984375" style="10" customWidth="1"/>
    <col min="13065" max="13065" width="10.90625" style="10" customWidth="1"/>
    <col min="13066" max="13066" width="8" style="10" customWidth="1"/>
    <col min="13067" max="13067" width="11" style="10" customWidth="1"/>
    <col min="13068" max="13068" width="10.36328125" style="10"/>
    <col min="13069" max="13071" width="10.6328125" style="10" customWidth="1"/>
    <col min="13072" max="13077" width="10.36328125" style="10"/>
    <col min="13078" max="13078" width="8.453125" style="10" customWidth="1"/>
    <col min="13079" max="13080" width="10.36328125" style="10"/>
    <col min="13081" max="13081" width="12.6328125" style="10" customWidth="1"/>
    <col min="13082" max="13082" width="4.6328125" style="10" customWidth="1"/>
    <col min="13083" max="13083" width="11.6328125" style="10" customWidth="1"/>
    <col min="13084" max="13312" width="10.36328125" style="10"/>
    <col min="13313" max="13313" width="3.08984375" style="10" customWidth="1"/>
    <col min="13314" max="13314" width="13.36328125" style="10" customWidth="1"/>
    <col min="13315" max="13315" width="9.90625" style="10" customWidth="1"/>
    <col min="13316" max="13316" width="10.6328125" style="10" customWidth="1"/>
    <col min="13317" max="13317" width="11.54296875" style="10" customWidth="1"/>
    <col min="13318" max="13318" width="10.453125" style="10" customWidth="1"/>
    <col min="13319" max="13319" width="9.54296875" style="10" customWidth="1"/>
    <col min="13320" max="13320" width="11.08984375" style="10" customWidth="1"/>
    <col min="13321" max="13321" width="10.90625" style="10" customWidth="1"/>
    <col min="13322" max="13322" width="8" style="10" customWidth="1"/>
    <col min="13323" max="13323" width="11" style="10" customWidth="1"/>
    <col min="13324" max="13324" width="10.36328125" style="10"/>
    <col min="13325" max="13327" width="10.6328125" style="10" customWidth="1"/>
    <col min="13328" max="13333" width="10.36328125" style="10"/>
    <col min="13334" max="13334" width="8.453125" style="10" customWidth="1"/>
    <col min="13335" max="13336" width="10.36328125" style="10"/>
    <col min="13337" max="13337" width="12.6328125" style="10" customWidth="1"/>
    <col min="13338" max="13338" width="4.6328125" style="10" customWidth="1"/>
    <col min="13339" max="13339" width="11.6328125" style="10" customWidth="1"/>
    <col min="13340" max="13568" width="10.36328125" style="10"/>
    <col min="13569" max="13569" width="3.08984375" style="10" customWidth="1"/>
    <col min="13570" max="13570" width="13.36328125" style="10" customWidth="1"/>
    <col min="13571" max="13571" width="9.90625" style="10" customWidth="1"/>
    <col min="13572" max="13572" width="10.6328125" style="10" customWidth="1"/>
    <col min="13573" max="13573" width="11.54296875" style="10" customWidth="1"/>
    <col min="13574" max="13574" width="10.453125" style="10" customWidth="1"/>
    <col min="13575" max="13575" width="9.54296875" style="10" customWidth="1"/>
    <col min="13576" max="13576" width="11.08984375" style="10" customWidth="1"/>
    <col min="13577" max="13577" width="10.90625" style="10" customWidth="1"/>
    <col min="13578" max="13578" width="8" style="10" customWidth="1"/>
    <col min="13579" max="13579" width="11" style="10" customWidth="1"/>
    <col min="13580" max="13580" width="10.36328125" style="10"/>
    <col min="13581" max="13583" width="10.6328125" style="10" customWidth="1"/>
    <col min="13584" max="13589" width="10.36328125" style="10"/>
    <col min="13590" max="13590" width="8.453125" style="10" customWidth="1"/>
    <col min="13591" max="13592" width="10.36328125" style="10"/>
    <col min="13593" max="13593" width="12.6328125" style="10" customWidth="1"/>
    <col min="13594" max="13594" width="4.6328125" style="10" customWidth="1"/>
    <col min="13595" max="13595" width="11.6328125" style="10" customWidth="1"/>
    <col min="13596" max="13824" width="10.36328125" style="10"/>
    <col min="13825" max="13825" width="3.08984375" style="10" customWidth="1"/>
    <col min="13826" max="13826" width="13.36328125" style="10" customWidth="1"/>
    <col min="13827" max="13827" width="9.90625" style="10" customWidth="1"/>
    <col min="13828" max="13828" width="10.6328125" style="10" customWidth="1"/>
    <col min="13829" max="13829" width="11.54296875" style="10" customWidth="1"/>
    <col min="13830" max="13830" width="10.453125" style="10" customWidth="1"/>
    <col min="13831" max="13831" width="9.54296875" style="10" customWidth="1"/>
    <col min="13832" max="13832" width="11.08984375" style="10" customWidth="1"/>
    <col min="13833" max="13833" width="10.90625" style="10" customWidth="1"/>
    <col min="13834" max="13834" width="8" style="10" customWidth="1"/>
    <col min="13835" max="13835" width="11" style="10" customWidth="1"/>
    <col min="13836" max="13836" width="10.36328125" style="10"/>
    <col min="13837" max="13839" width="10.6328125" style="10" customWidth="1"/>
    <col min="13840" max="13845" width="10.36328125" style="10"/>
    <col min="13846" max="13846" width="8.453125" style="10" customWidth="1"/>
    <col min="13847" max="13848" width="10.36328125" style="10"/>
    <col min="13849" max="13849" width="12.6328125" style="10" customWidth="1"/>
    <col min="13850" max="13850" width="4.6328125" style="10" customWidth="1"/>
    <col min="13851" max="13851" width="11.6328125" style="10" customWidth="1"/>
    <col min="13852" max="14080" width="10.36328125" style="10"/>
    <col min="14081" max="14081" width="3.08984375" style="10" customWidth="1"/>
    <col min="14082" max="14082" width="13.36328125" style="10" customWidth="1"/>
    <col min="14083" max="14083" width="9.90625" style="10" customWidth="1"/>
    <col min="14084" max="14084" width="10.6328125" style="10" customWidth="1"/>
    <col min="14085" max="14085" width="11.54296875" style="10" customWidth="1"/>
    <col min="14086" max="14086" width="10.453125" style="10" customWidth="1"/>
    <col min="14087" max="14087" width="9.54296875" style="10" customWidth="1"/>
    <col min="14088" max="14088" width="11.08984375" style="10" customWidth="1"/>
    <col min="14089" max="14089" width="10.90625" style="10" customWidth="1"/>
    <col min="14090" max="14090" width="8" style="10" customWidth="1"/>
    <col min="14091" max="14091" width="11" style="10" customWidth="1"/>
    <col min="14092" max="14092" width="10.36328125" style="10"/>
    <col min="14093" max="14095" width="10.6328125" style="10" customWidth="1"/>
    <col min="14096" max="14101" width="10.36328125" style="10"/>
    <col min="14102" max="14102" width="8.453125" style="10" customWidth="1"/>
    <col min="14103" max="14104" width="10.36328125" style="10"/>
    <col min="14105" max="14105" width="12.6328125" style="10" customWidth="1"/>
    <col min="14106" max="14106" width="4.6328125" style="10" customWidth="1"/>
    <col min="14107" max="14107" width="11.6328125" style="10" customWidth="1"/>
    <col min="14108" max="14336" width="10.36328125" style="10"/>
    <col min="14337" max="14337" width="3.08984375" style="10" customWidth="1"/>
    <col min="14338" max="14338" width="13.36328125" style="10" customWidth="1"/>
    <col min="14339" max="14339" width="9.90625" style="10" customWidth="1"/>
    <col min="14340" max="14340" width="10.6328125" style="10" customWidth="1"/>
    <col min="14341" max="14341" width="11.54296875" style="10" customWidth="1"/>
    <col min="14342" max="14342" width="10.453125" style="10" customWidth="1"/>
    <col min="14343" max="14343" width="9.54296875" style="10" customWidth="1"/>
    <col min="14344" max="14344" width="11.08984375" style="10" customWidth="1"/>
    <col min="14345" max="14345" width="10.90625" style="10" customWidth="1"/>
    <col min="14346" max="14346" width="8" style="10" customWidth="1"/>
    <col min="14347" max="14347" width="11" style="10" customWidth="1"/>
    <col min="14348" max="14348" width="10.36328125" style="10"/>
    <col min="14349" max="14351" width="10.6328125" style="10" customWidth="1"/>
    <col min="14352" max="14357" width="10.36328125" style="10"/>
    <col min="14358" max="14358" width="8.453125" style="10" customWidth="1"/>
    <col min="14359" max="14360" width="10.36328125" style="10"/>
    <col min="14361" max="14361" width="12.6328125" style="10" customWidth="1"/>
    <col min="14362" max="14362" width="4.6328125" style="10" customWidth="1"/>
    <col min="14363" max="14363" width="11.6328125" style="10" customWidth="1"/>
    <col min="14364" max="14592" width="10.36328125" style="10"/>
    <col min="14593" max="14593" width="3.08984375" style="10" customWidth="1"/>
    <col min="14594" max="14594" width="13.36328125" style="10" customWidth="1"/>
    <col min="14595" max="14595" width="9.90625" style="10" customWidth="1"/>
    <col min="14596" max="14596" width="10.6328125" style="10" customWidth="1"/>
    <col min="14597" max="14597" width="11.54296875" style="10" customWidth="1"/>
    <col min="14598" max="14598" width="10.453125" style="10" customWidth="1"/>
    <col min="14599" max="14599" width="9.54296875" style="10" customWidth="1"/>
    <col min="14600" max="14600" width="11.08984375" style="10" customWidth="1"/>
    <col min="14601" max="14601" width="10.90625" style="10" customWidth="1"/>
    <col min="14602" max="14602" width="8" style="10" customWidth="1"/>
    <col min="14603" max="14603" width="11" style="10" customWidth="1"/>
    <col min="14604" max="14604" width="10.36328125" style="10"/>
    <col min="14605" max="14607" width="10.6328125" style="10" customWidth="1"/>
    <col min="14608" max="14613" width="10.36328125" style="10"/>
    <col min="14614" max="14614" width="8.453125" style="10" customWidth="1"/>
    <col min="14615" max="14616" width="10.36328125" style="10"/>
    <col min="14617" max="14617" width="12.6328125" style="10" customWidth="1"/>
    <col min="14618" max="14618" width="4.6328125" style="10" customWidth="1"/>
    <col min="14619" max="14619" width="11.6328125" style="10" customWidth="1"/>
    <col min="14620" max="14848" width="10.36328125" style="10"/>
    <col min="14849" max="14849" width="3.08984375" style="10" customWidth="1"/>
    <col min="14850" max="14850" width="13.36328125" style="10" customWidth="1"/>
    <col min="14851" max="14851" width="9.90625" style="10" customWidth="1"/>
    <col min="14852" max="14852" width="10.6328125" style="10" customWidth="1"/>
    <col min="14853" max="14853" width="11.54296875" style="10" customWidth="1"/>
    <col min="14854" max="14854" width="10.453125" style="10" customWidth="1"/>
    <col min="14855" max="14855" width="9.54296875" style="10" customWidth="1"/>
    <col min="14856" max="14856" width="11.08984375" style="10" customWidth="1"/>
    <col min="14857" max="14857" width="10.90625" style="10" customWidth="1"/>
    <col min="14858" max="14858" width="8" style="10" customWidth="1"/>
    <col min="14859" max="14859" width="11" style="10" customWidth="1"/>
    <col min="14860" max="14860" width="10.36328125" style="10"/>
    <col min="14861" max="14863" width="10.6328125" style="10" customWidth="1"/>
    <col min="14864" max="14869" width="10.36328125" style="10"/>
    <col min="14870" max="14870" width="8.453125" style="10" customWidth="1"/>
    <col min="14871" max="14872" width="10.36328125" style="10"/>
    <col min="14873" max="14873" width="12.6328125" style="10" customWidth="1"/>
    <col min="14874" max="14874" width="4.6328125" style="10" customWidth="1"/>
    <col min="14875" max="14875" width="11.6328125" style="10" customWidth="1"/>
    <col min="14876" max="15104" width="10.36328125" style="10"/>
    <col min="15105" max="15105" width="3.08984375" style="10" customWidth="1"/>
    <col min="15106" max="15106" width="13.36328125" style="10" customWidth="1"/>
    <col min="15107" max="15107" width="9.90625" style="10" customWidth="1"/>
    <col min="15108" max="15108" width="10.6328125" style="10" customWidth="1"/>
    <col min="15109" max="15109" width="11.54296875" style="10" customWidth="1"/>
    <col min="15110" max="15110" width="10.453125" style="10" customWidth="1"/>
    <col min="15111" max="15111" width="9.54296875" style="10" customWidth="1"/>
    <col min="15112" max="15112" width="11.08984375" style="10" customWidth="1"/>
    <col min="15113" max="15113" width="10.90625" style="10" customWidth="1"/>
    <col min="15114" max="15114" width="8" style="10" customWidth="1"/>
    <col min="15115" max="15115" width="11" style="10" customWidth="1"/>
    <col min="15116" max="15116" width="10.36328125" style="10"/>
    <col min="15117" max="15119" width="10.6328125" style="10" customWidth="1"/>
    <col min="15120" max="15125" width="10.36328125" style="10"/>
    <col min="15126" max="15126" width="8.453125" style="10" customWidth="1"/>
    <col min="15127" max="15128" width="10.36328125" style="10"/>
    <col min="15129" max="15129" width="12.6328125" style="10" customWidth="1"/>
    <col min="15130" max="15130" width="4.6328125" style="10" customWidth="1"/>
    <col min="15131" max="15131" width="11.6328125" style="10" customWidth="1"/>
    <col min="15132" max="15360" width="10.36328125" style="10"/>
    <col min="15361" max="15361" width="3.08984375" style="10" customWidth="1"/>
    <col min="15362" max="15362" width="13.36328125" style="10" customWidth="1"/>
    <col min="15363" max="15363" width="9.90625" style="10" customWidth="1"/>
    <col min="15364" max="15364" width="10.6328125" style="10" customWidth="1"/>
    <col min="15365" max="15365" width="11.54296875" style="10" customWidth="1"/>
    <col min="15366" max="15366" width="10.453125" style="10" customWidth="1"/>
    <col min="15367" max="15367" width="9.54296875" style="10" customWidth="1"/>
    <col min="15368" max="15368" width="11.08984375" style="10" customWidth="1"/>
    <col min="15369" max="15369" width="10.90625" style="10" customWidth="1"/>
    <col min="15370" max="15370" width="8" style="10" customWidth="1"/>
    <col min="15371" max="15371" width="11" style="10" customWidth="1"/>
    <col min="15372" max="15372" width="10.36328125" style="10"/>
    <col min="15373" max="15375" width="10.6328125" style="10" customWidth="1"/>
    <col min="15376" max="15381" width="10.36328125" style="10"/>
    <col min="15382" max="15382" width="8.453125" style="10" customWidth="1"/>
    <col min="15383" max="15384" width="10.36328125" style="10"/>
    <col min="15385" max="15385" width="12.6328125" style="10" customWidth="1"/>
    <col min="15386" max="15386" width="4.6328125" style="10" customWidth="1"/>
    <col min="15387" max="15387" width="11.6328125" style="10" customWidth="1"/>
    <col min="15388" max="15616" width="10.36328125" style="10"/>
    <col min="15617" max="15617" width="3.08984375" style="10" customWidth="1"/>
    <col min="15618" max="15618" width="13.36328125" style="10" customWidth="1"/>
    <col min="15619" max="15619" width="9.90625" style="10" customWidth="1"/>
    <col min="15620" max="15620" width="10.6328125" style="10" customWidth="1"/>
    <col min="15621" max="15621" width="11.54296875" style="10" customWidth="1"/>
    <col min="15622" max="15622" width="10.453125" style="10" customWidth="1"/>
    <col min="15623" max="15623" width="9.54296875" style="10" customWidth="1"/>
    <col min="15624" max="15624" width="11.08984375" style="10" customWidth="1"/>
    <col min="15625" max="15625" width="10.90625" style="10" customWidth="1"/>
    <col min="15626" max="15626" width="8" style="10" customWidth="1"/>
    <col min="15627" max="15627" width="11" style="10" customWidth="1"/>
    <col min="15628" max="15628" width="10.36328125" style="10"/>
    <col min="15629" max="15631" width="10.6328125" style="10" customWidth="1"/>
    <col min="15632" max="15637" width="10.36328125" style="10"/>
    <col min="15638" max="15638" width="8.453125" style="10" customWidth="1"/>
    <col min="15639" max="15640" width="10.36328125" style="10"/>
    <col min="15641" max="15641" width="12.6328125" style="10" customWidth="1"/>
    <col min="15642" max="15642" width="4.6328125" style="10" customWidth="1"/>
    <col min="15643" max="15643" width="11.6328125" style="10" customWidth="1"/>
    <col min="15644" max="15872" width="10.36328125" style="10"/>
    <col min="15873" max="15873" width="3.08984375" style="10" customWidth="1"/>
    <col min="15874" max="15874" width="13.36328125" style="10" customWidth="1"/>
    <col min="15875" max="15875" width="9.90625" style="10" customWidth="1"/>
    <col min="15876" max="15876" width="10.6328125" style="10" customWidth="1"/>
    <col min="15877" max="15877" width="11.54296875" style="10" customWidth="1"/>
    <col min="15878" max="15878" width="10.453125" style="10" customWidth="1"/>
    <col min="15879" max="15879" width="9.54296875" style="10" customWidth="1"/>
    <col min="15880" max="15880" width="11.08984375" style="10" customWidth="1"/>
    <col min="15881" max="15881" width="10.90625" style="10" customWidth="1"/>
    <col min="15882" max="15882" width="8" style="10" customWidth="1"/>
    <col min="15883" max="15883" width="11" style="10" customWidth="1"/>
    <col min="15884" max="15884" width="10.36328125" style="10"/>
    <col min="15885" max="15887" width="10.6328125" style="10" customWidth="1"/>
    <col min="15888" max="15893" width="10.36328125" style="10"/>
    <col min="15894" max="15894" width="8.453125" style="10" customWidth="1"/>
    <col min="15895" max="15896" width="10.36328125" style="10"/>
    <col min="15897" max="15897" width="12.6328125" style="10" customWidth="1"/>
    <col min="15898" max="15898" width="4.6328125" style="10" customWidth="1"/>
    <col min="15899" max="15899" width="11.6328125" style="10" customWidth="1"/>
    <col min="15900" max="16128" width="10.36328125" style="10"/>
    <col min="16129" max="16129" width="3.08984375" style="10" customWidth="1"/>
    <col min="16130" max="16130" width="13.36328125" style="10" customWidth="1"/>
    <col min="16131" max="16131" width="9.90625" style="10" customWidth="1"/>
    <col min="16132" max="16132" width="10.6328125" style="10" customWidth="1"/>
    <col min="16133" max="16133" width="11.54296875" style="10" customWidth="1"/>
    <col min="16134" max="16134" width="10.453125" style="10" customWidth="1"/>
    <col min="16135" max="16135" width="9.54296875" style="10" customWidth="1"/>
    <col min="16136" max="16136" width="11.08984375" style="10" customWidth="1"/>
    <col min="16137" max="16137" width="10.90625" style="10" customWidth="1"/>
    <col min="16138" max="16138" width="8" style="10" customWidth="1"/>
    <col min="16139" max="16139" width="11" style="10" customWidth="1"/>
    <col min="16140" max="16140" width="10.36328125" style="10"/>
    <col min="16141" max="16143" width="10.6328125" style="10" customWidth="1"/>
    <col min="16144" max="16149" width="10.36328125" style="10"/>
    <col min="16150" max="16150" width="8.453125" style="10" customWidth="1"/>
    <col min="16151" max="16152" width="10.36328125" style="10"/>
    <col min="16153" max="16153" width="12.6328125" style="10" customWidth="1"/>
    <col min="16154" max="16154" width="4.6328125" style="10" customWidth="1"/>
    <col min="16155" max="16155" width="11.6328125" style="10" customWidth="1"/>
    <col min="16156" max="16384" width="10.36328125" style="10"/>
  </cols>
  <sheetData>
    <row r="1" spans="1:47" ht="14" thickTop="1" thickBot="1" x14ac:dyDescent="0.35">
      <c r="A1" s="940">
        <v>1</v>
      </c>
      <c r="B1" s="941" t="s">
        <v>301</v>
      </c>
      <c r="C1" s="895"/>
      <c r="D1" s="895"/>
      <c r="E1" s="895"/>
      <c r="F1" s="895"/>
      <c r="G1" s="895"/>
      <c r="H1" s="895"/>
      <c r="I1" s="942"/>
      <c r="J1" s="1" t="s">
        <v>14</v>
      </c>
      <c r="K1" s="29"/>
      <c r="L1" s="943"/>
      <c r="M1" s="30" t="s">
        <v>90</v>
      </c>
      <c r="N1" s="944">
        <f>ROUND(C11,0)</f>
        <v>34</v>
      </c>
      <c r="O1" s="30" t="s">
        <v>91</v>
      </c>
      <c r="P1" s="589">
        <v>3</v>
      </c>
      <c r="R1" s="2" t="s">
        <v>15</v>
      </c>
      <c r="S1" s="3"/>
      <c r="T1" s="3" t="s">
        <v>16</v>
      </c>
      <c r="U1" s="590">
        <f>D9</f>
        <v>0.06</v>
      </c>
      <c r="V1" s="3"/>
      <c r="W1" s="3" t="s">
        <v>17</v>
      </c>
      <c r="X1" s="590">
        <v>2.5000000000000001E-3</v>
      </c>
      <c r="Y1" s="3"/>
      <c r="Z1" s="3"/>
      <c r="AA1" s="3"/>
      <c r="AB1" s="3"/>
      <c r="AC1" s="3"/>
      <c r="AD1" s="3"/>
      <c r="AE1" s="32"/>
      <c r="AF1" s="32" t="s">
        <v>3</v>
      </c>
      <c r="AG1" s="32"/>
      <c r="AH1" s="32"/>
      <c r="AI1" s="32"/>
      <c r="AJ1" s="32" t="s">
        <v>18</v>
      </c>
      <c r="AK1" s="32"/>
      <c r="AL1" s="32"/>
      <c r="AM1" s="32"/>
      <c r="AN1" s="32" t="s">
        <v>19</v>
      </c>
      <c r="AO1" s="32" t="s">
        <v>20</v>
      </c>
    </row>
    <row r="2" spans="1:47" ht="13.5" thickTop="1" x14ac:dyDescent="0.3">
      <c r="B2" s="109"/>
      <c r="C2" s="110" t="s">
        <v>0</v>
      </c>
      <c r="D2" s="54"/>
      <c r="E2" s="110" t="s">
        <v>1</v>
      </c>
      <c r="F2" s="54"/>
      <c r="G2" s="54"/>
      <c r="H2" s="110" t="s">
        <v>2</v>
      </c>
      <c r="I2" s="55"/>
      <c r="J2" s="5" t="s">
        <v>3</v>
      </c>
      <c r="K2" s="31" t="s">
        <v>89</v>
      </c>
      <c r="M2" s="589">
        <v>0</v>
      </c>
      <c r="N2" s="5" t="s">
        <v>83</v>
      </c>
      <c r="O2" s="5"/>
      <c r="P2" s="5"/>
      <c r="R2" s="2" t="s">
        <v>21</v>
      </c>
      <c r="S2" s="6"/>
      <c r="T2" s="6" t="s">
        <v>22</v>
      </c>
      <c r="U2" s="6"/>
      <c r="V2" s="3" t="s">
        <v>3</v>
      </c>
      <c r="W2" s="4" t="s">
        <v>3</v>
      </c>
      <c r="X2" s="4" t="s">
        <v>23</v>
      </c>
      <c r="Y2" s="4"/>
      <c r="Z2" s="3"/>
      <c r="AA2" s="7"/>
      <c r="AB2" s="7" t="s">
        <v>24</v>
      </c>
      <c r="AC2" s="7"/>
      <c r="AD2" s="3"/>
      <c r="AE2" s="32"/>
      <c r="AF2" s="32" t="s">
        <v>25</v>
      </c>
      <c r="AG2" s="32" t="s">
        <v>26</v>
      </c>
      <c r="AH2" s="32" t="s">
        <v>93</v>
      </c>
      <c r="AI2" s="32" t="s">
        <v>20</v>
      </c>
      <c r="AJ2" s="32" t="s">
        <v>27</v>
      </c>
      <c r="AK2" s="32" t="s">
        <v>28</v>
      </c>
      <c r="AL2" s="32" t="s">
        <v>28</v>
      </c>
      <c r="AM2" s="32" t="s">
        <v>29</v>
      </c>
      <c r="AN2" s="32" t="s">
        <v>30</v>
      </c>
      <c r="AO2" s="32" t="s">
        <v>30</v>
      </c>
      <c r="AP2" s="21" t="s">
        <v>3</v>
      </c>
      <c r="AQ2" s="21" t="s">
        <v>3</v>
      </c>
      <c r="AR2" s="21" t="s">
        <v>3</v>
      </c>
      <c r="AS2" s="21" t="s">
        <v>3</v>
      </c>
      <c r="AT2" s="21" t="s">
        <v>3</v>
      </c>
      <c r="AU2" s="21" t="s">
        <v>3</v>
      </c>
    </row>
    <row r="3" spans="1:47" ht="13" x14ac:dyDescent="0.3">
      <c r="B3" s="111" t="s">
        <v>205</v>
      </c>
      <c r="C3" s="564">
        <v>0.3</v>
      </c>
      <c r="D3" s="4"/>
      <c r="E3" s="563">
        <v>6</v>
      </c>
      <c r="F3" s="4" t="s">
        <v>4</v>
      </c>
      <c r="G3" s="4"/>
      <c r="H3" s="566">
        <v>0</v>
      </c>
      <c r="I3" s="567" t="s">
        <v>241</v>
      </c>
      <c r="J3" s="5" t="s">
        <v>31</v>
      </c>
      <c r="K3" s="33" t="s">
        <v>9</v>
      </c>
      <c r="L3" s="5" t="s">
        <v>32</v>
      </c>
      <c r="M3" s="34" t="s">
        <v>33</v>
      </c>
      <c r="N3" s="5" t="s">
        <v>28</v>
      </c>
      <c r="O3" s="5"/>
      <c r="P3" s="5" t="s">
        <v>34</v>
      </c>
      <c r="R3" s="3" t="s">
        <v>35</v>
      </c>
      <c r="S3" s="6" t="s">
        <v>36</v>
      </c>
      <c r="T3" s="6" t="s">
        <v>37</v>
      </c>
      <c r="U3" s="6" t="s">
        <v>38</v>
      </c>
      <c r="V3" s="3"/>
      <c r="W3" s="4" t="s">
        <v>36</v>
      </c>
      <c r="X3" s="4" t="s">
        <v>37</v>
      </c>
      <c r="Y3" s="4" t="s">
        <v>38</v>
      </c>
      <c r="Z3" s="3"/>
      <c r="AA3" s="7" t="s">
        <v>36</v>
      </c>
      <c r="AB3" s="7" t="s">
        <v>37</v>
      </c>
      <c r="AC3" s="7" t="s">
        <v>38</v>
      </c>
      <c r="AD3" s="3"/>
      <c r="AE3" s="32" t="s">
        <v>39</v>
      </c>
      <c r="AF3" s="32"/>
      <c r="AG3" s="32" t="s">
        <v>40</v>
      </c>
      <c r="AH3" s="32" t="s">
        <v>40</v>
      </c>
      <c r="AI3" s="32" t="s">
        <v>40</v>
      </c>
      <c r="AJ3" s="32" t="s">
        <v>41</v>
      </c>
      <c r="AK3" s="32" t="s">
        <v>42</v>
      </c>
      <c r="AL3" s="32" t="s">
        <v>43</v>
      </c>
      <c r="AM3" s="32" t="s">
        <v>28</v>
      </c>
      <c r="AN3" s="32" t="s">
        <v>44</v>
      </c>
      <c r="AO3" s="32" t="s">
        <v>44</v>
      </c>
      <c r="AP3" s="22"/>
      <c r="AQ3" s="945" t="s">
        <v>45</v>
      </c>
      <c r="AR3" s="945" t="s">
        <v>302</v>
      </c>
      <c r="AS3" s="945"/>
      <c r="AT3" s="945"/>
      <c r="AU3" s="22"/>
    </row>
    <row r="4" spans="1:47" ht="13" x14ac:dyDescent="0.3">
      <c r="B4" s="112"/>
      <c r="C4" s="4"/>
      <c r="D4" s="4"/>
      <c r="E4" s="4" t="s">
        <v>3</v>
      </c>
      <c r="F4" s="4"/>
      <c r="G4" s="4"/>
      <c r="H4" s="566">
        <v>0</v>
      </c>
      <c r="I4" s="567" t="s">
        <v>242</v>
      </c>
      <c r="J4" s="25">
        <f>C24</f>
        <v>26.618935185185183</v>
      </c>
      <c r="K4" s="49">
        <f>(C3/(SQRT(J4)))</f>
        <v>5.8146812879234198E-2</v>
      </c>
      <c r="L4" s="25">
        <f>C25</f>
        <v>159.71361111111111</v>
      </c>
      <c r="M4" s="49">
        <f>(SQRT((D9*D9)-(K4*K4)))</f>
        <v>1.4796896701245293E-2</v>
      </c>
      <c r="N4" s="25">
        <f>(J4*E$3)+(L4*E$5)+H$6</f>
        <v>479.14083333333332</v>
      </c>
      <c r="O4" s="25">
        <f t="shared" ref="O4:O14" si="0">MAX(0,+O5-P5)</f>
        <v>1</v>
      </c>
      <c r="P4" s="25">
        <f>P1</f>
        <v>3</v>
      </c>
      <c r="Q4" s="10" t="s">
        <v>92</v>
      </c>
      <c r="R4" s="46">
        <f t="shared" ref="R4:R14" si="1">R5-AE5</f>
        <v>3.2499999999999973E-2</v>
      </c>
      <c r="S4" s="3">
        <f t="shared" ref="S4:S27" si="2">(T4*AL4)+(U4*AK4)+AM4</f>
        <v>945.42977630149858</v>
      </c>
      <c r="T4" s="3">
        <f t="shared" ref="T4:T27" si="3">(AJ4/(AF4*AG4))</f>
        <v>125.10016596886555</v>
      </c>
      <c r="U4" s="3">
        <f t="shared" ref="U4:U27" si="4">(AG4*T4)</f>
        <v>115.87157406062791</v>
      </c>
      <c r="V4" s="3"/>
      <c r="W4" s="3">
        <f t="shared" ref="W4:W27" si="5">(X4*AL4)+(Y4*AK4)+AM4</f>
        <v>1082.9477869822504</v>
      </c>
      <c r="X4" s="3">
        <f t="shared" ref="X4:X27" si="6">(AN4/(AF4*AH4))</f>
        <v>246.12449704142054</v>
      </c>
      <c r="Y4" s="3">
        <f t="shared" ref="Y4:Y27" si="7">(X4*AH4)</f>
        <v>98.449798816568219</v>
      </c>
      <c r="Z4" s="3"/>
      <c r="AA4" s="3">
        <f t="shared" ref="AA4:AA27" si="8">(AB4*AL4)+(AC4*AK4)+AM4</f>
        <v>1633.0480473372809</v>
      </c>
      <c r="AB4" s="3">
        <f t="shared" ref="AB4:AB27" si="9">(AO4/(AF4*AI4))</f>
        <v>544.34934911242692</v>
      </c>
      <c r="AC4" s="3">
        <f t="shared" ref="AC4:AC27" si="10">(AB4*AI4)</f>
        <v>90.72489151873782</v>
      </c>
      <c r="AD4" s="3"/>
      <c r="AE4" s="32">
        <f>X1</f>
        <v>2.5000000000000001E-3</v>
      </c>
      <c r="AF4" s="32">
        <f t="shared" ref="AF4:AF27" si="11">(R4*R4)</f>
        <v>1.0562499999999982E-3</v>
      </c>
      <c r="AG4" s="32">
        <f>E7</f>
        <v>0.92623037837907884</v>
      </c>
      <c r="AH4" s="32">
        <f>(C15/C16)</f>
        <v>0.4</v>
      </c>
      <c r="AI4" s="32">
        <f>(1/I23)</f>
        <v>0.16666666666666666</v>
      </c>
      <c r="AJ4" s="32">
        <f>((C3*C3)+(C5*C5*E7))</f>
        <v>0.12238935010153801</v>
      </c>
      <c r="AK4" s="32">
        <f>E3</f>
        <v>6</v>
      </c>
      <c r="AL4" s="32">
        <f>E5</f>
        <v>2</v>
      </c>
      <c r="AM4" s="32">
        <f>H3+H4+H5</f>
        <v>0</v>
      </c>
      <c r="AN4" s="32">
        <f>((C3*C3)+(C5*C5*AH4))</f>
        <v>0.1039876</v>
      </c>
      <c r="AO4" s="32">
        <f>((C3*C3)+(C5*C5*AI4))</f>
        <v>9.5828166666666659E-2</v>
      </c>
      <c r="AP4" s="40" t="s">
        <v>3</v>
      </c>
      <c r="AQ4" s="40" t="s">
        <v>46</v>
      </c>
      <c r="AR4" s="40" t="s">
        <v>47</v>
      </c>
      <c r="AS4" s="40" t="s">
        <v>48</v>
      </c>
      <c r="AT4" s="40" t="s">
        <v>49</v>
      </c>
      <c r="AU4" s="40" t="s">
        <v>50</v>
      </c>
    </row>
    <row r="5" spans="1:47" ht="13.5" thickBot="1" x14ac:dyDescent="0.35">
      <c r="B5" s="113" t="s">
        <v>204</v>
      </c>
      <c r="C5" s="564">
        <v>0.187</v>
      </c>
      <c r="D5" s="4"/>
      <c r="E5" s="563">
        <v>2</v>
      </c>
      <c r="F5" s="4" t="s">
        <v>5</v>
      </c>
      <c r="G5" s="4"/>
      <c r="H5" s="568">
        <v>0</v>
      </c>
      <c r="I5" s="567" t="s">
        <v>243</v>
      </c>
      <c r="J5" s="25">
        <f>C15</f>
        <v>40</v>
      </c>
      <c r="K5" s="49">
        <f>(C3/(SQRT(J5)))</f>
        <v>4.7434164902525687E-2</v>
      </c>
      <c r="L5" s="25">
        <f>C16</f>
        <v>100</v>
      </c>
      <c r="M5" s="49">
        <f>(SQRT((D9*D9)-(K5*K5)))</f>
        <v>3.6742346141747671E-2</v>
      </c>
      <c r="N5" s="25">
        <f>(J5*E$3)+(L5*E$5)+H$6</f>
        <v>440</v>
      </c>
      <c r="O5" s="25">
        <f t="shared" si="0"/>
        <v>4</v>
      </c>
      <c r="P5" s="25">
        <f t="shared" ref="P5:P24" si="12">P4</f>
        <v>3</v>
      </c>
      <c r="Q5" s="10" t="s">
        <v>93</v>
      </c>
      <c r="R5" s="46">
        <f t="shared" si="1"/>
        <v>3.4999999999999976E-2</v>
      </c>
      <c r="S5" s="3">
        <f t="shared" si="2"/>
        <v>815.19200099465911</v>
      </c>
      <c r="T5" s="3">
        <f t="shared" si="3"/>
        <v>107.86697984050137</v>
      </c>
      <c r="U5" s="3">
        <f t="shared" si="4"/>
        <v>99.909673552276061</v>
      </c>
      <c r="V5" s="3"/>
      <c r="W5" s="3">
        <f t="shared" si="5"/>
        <v>933.76620408163399</v>
      </c>
      <c r="X5" s="3">
        <f t="shared" si="6"/>
        <v>212.21959183673499</v>
      </c>
      <c r="Y5" s="3">
        <f t="shared" si="7"/>
        <v>84.887836734694005</v>
      </c>
      <c r="Z5" s="3"/>
      <c r="AA5" s="3">
        <f t="shared" si="8"/>
        <v>1408.0873469387775</v>
      </c>
      <c r="AB5" s="3">
        <f t="shared" si="9"/>
        <v>469.3624489795925</v>
      </c>
      <c r="AC5" s="3">
        <f t="shared" si="10"/>
        <v>78.227074829932079</v>
      </c>
      <c r="AD5" s="3"/>
      <c r="AE5" s="32">
        <f t="shared" ref="AE5:AE27" si="13">AE4</f>
        <v>2.5000000000000001E-3</v>
      </c>
      <c r="AF5" s="32">
        <f t="shared" si="11"/>
        <v>1.2249999999999982E-3</v>
      </c>
      <c r="AG5" s="32">
        <f t="shared" ref="AG5:AO20" si="14">AG4</f>
        <v>0.92623037837907884</v>
      </c>
      <c r="AH5" s="32">
        <f t="shared" si="14"/>
        <v>0.4</v>
      </c>
      <c r="AI5" s="32">
        <f t="shared" si="14"/>
        <v>0.16666666666666666</v>
      </c>
      <c r="AJ5" s="32">
        <f t="shared" si="14"/>
        <v>0.12238935010153801</v>
      </c>
      <c r="AK5" s="32">
        <f t="shared" si="14"/>
        <v>6</v>
      </c>
      <c r="AL5" s="32">
        <f t="shared" si="14"/>
        <v>2</v>
      </c>
      <c r="AM5" s="32">
        <f t="shared" si="14"/>
        <v>0</v>
      </c>
      <c r="AN5" s="32">
        <f t="shared" si="14"/>
        <v>0.1039876</v>
      </c>
      <c r="AO5" s="32">
        <f t="shared" si="14"/>
        <v>9.5828166666666659E-2</v>
      </c>
      <c r="AP5" s="44" t="s">
        <v>121</v>
      </c>
      <c r="AQ5" s="41">
        <v>6.2700000000000006E-2</v>
      </c>
      <c r="AR5" s="41">
        <v>0.12570000000000001</v>
      </c>
      <c r="AS5" s="41">
        <v>0.67449999999999999</v>
      </c>
      <c r="AT5" s="41">
        <v>1.6449</v>
      </c>
      <c r="AU5" s="42">
        <v>1.96</v>
      </c>
    </row>
    <row r="6" spans="1:47" ht="13" thickTop="1" x14ac:dyDescent="0.25">
      <c r="B6" s="112" t="s">
        <v>3</v>
      </c>
      <c r="C6" s="4" t="s">
        <v>3</v>
      </c>
      <c r="D6" s="4" t="s">
        <v>3</v>
      </c>
      <c r="E6" s="4" t="s">
        <v>3</v>
      </c>
      <c r="F6" s="114" t="s">
        <v>3</v>
      </c>
      <c r="G6" s="4" t="s">
        <v>3</v>
      </c>
      <c r="H6" s="946">
        <f>SUM(H3:H5)</f>
        <v>0</v>
      </c>
      <c r="I6" s="116" t="s">
        <v>88</v>
      </c>
      <c r="J6" s="8">
        <f t="shared" ref="J6:J24" si="15">O6</f>
        <v>7</v>
      </c>
      <c r="K6" s="50">
        <f t="shared" ref="K6:K24" si="16">IF(J6&gt;0,(C$3/(SQRT(J6))),"")</f>
        <v>0.11338934190276816</v>
      </c>
      <c r="L6" s="8" t="str">
        <f t="shared" ref="L6:L24" si="17">IF(K6&lt;D$9,(C$5/M6)*(C$5/M6),"")</f>
        <v/>
      </c>
      <c r="M6" s="51" t="str">
        <f t="shared" ref="M6:M24" si="18">IF(K6&lt;D$9,(SQRT((D$9*D$9)-(K6*K6))),"")</f>
        <v/>
      </c>
      <c r="N6" s="24" t="str">
        <f t="shared" ref="N6:N24" si="19">IF(K6&lt;D$9,(J6*E$3)+(L6*E$5)+H$6,"")</f>
        <v/>
      </c>
      <c r="O6" s="24">
        <f t="shared" si="0"/>
        <v>7</v>
      </c>
      <c r="P6" s="8">
        <f t="shared" si="12"/>
        <v>3</v>
      </c>
      <c r="R6" s="46">
        <f t="shared" si="1"/>
        <v>3.7499999999999978E-2</v>
      </c>
      <c r="S6" s="3">
        <f t="shared" si="2"/>
        <v>710.12280975534736</v>
      </c>
      <c r="T6" s="3">
        <f t="shared" si="3"/>
        <v>93.964124661058946</v>
      </c>
      <c r="U6" s="3">
        <f t="shared" si="4"/>
        <v>87.032426738871564</v>
      </c>
      <c r="V6" s="3"/>
      <c r="W6" s="3">
        <f t="shared" si="5"/>
        <v>813.41411555555646</v>
      </c>
      <c r="X6" s="3">
        <f t="shared" si="6"/>
        <v>184.86684444444464</v>
      </c>
      <c r="Y6" s="3">
        <f t="shared" si="7"/>
        <v>73.946737777777855</v>
      </c>
      <c r="Z6" s="3"/>
      <c r="AA6" s="3">
        <f t="shared" si="8"/>
        <v>1226.6005333333346</v>
      </c>
      <c r="AB6" s="3">
        <f t="shared" si="9"/>
        <v>408.86684444444489</v>
      </c>
      <c r="AC6" s="3">
        <f t="shared" si="10"/>
        <v>68.144474074074139</v>
      </c>
      <c r="AD6" s="3"/>
      <c r="AE6" s="32">
        <f t="shared" si="13"/>
        <v>2.5000000000000001E-3</v>
      </c>
      <c r="AF6" s="32">
        <f t="shared" si="11"/>
        <v>1.4062499999999984E-3</v>
      </c>
      <c r="AG6" s="32">
        <f t="shared" si="14"/>
        <v>0.92623037837907884</v>
      </c>
      <c r="AH6" s="32">
        <f t="shared" si="14"/>
        <v>0.4</v>
      </c>
      <c r="AI6" s="32">
        <f t="shared" si="14"/>
        <v>0.16666666666666666</v>
      </c>
      <c r="AJ6" s="32">
        <f t="shared" si="14"/>
        <v>0.12238935010153801</v>
      </c>
      <c r="AK6" s="32">
        <f t="shared" si="14"/>
        <v>6</v>
      </c>
      <c r="AL6" s="32">
        <f t="shared" si="14"/>
        <v>2</v>
      </c>
      <c r="AM6" s="32">
        <f t="shared" si="14"/>
        <v>0</v>
      </c>
      <c r="AN6" s="32">
        <f t="shared" si="14"/>
        <v>0.1039876</v>
      </c>
      <c r="AO6" s="32">
        <f t="shared" si="14"/>
        <v>9.5828166666666659E-2</v>
      </c>
      <c r="AP6" s="43" t="s">
        <v>120</v>
      </c>
      <c r="AQ6" s="23">
        <v>7.8700000000000006E-2</v>
      </c>
      <c r="AR6" s="23">
        <v>0.15840000000000001</v>
      </c>
      <c r="AS6" s="23">
        <v>1</v>
      </c>
      <c r="AT6" s="23">
        <v>6.3137999999999996</v>
      </c>
      <c r="AU6" s="23">
        <v>12.706200000000001</v>
      </c>
    </row>
    <row r="7" spans="1:47" ht="13" x14ac:dyDescent="0.3">
      <c r="B7" s="57"/>
      <c r="C7" s="4"/>
      <c r="D7" s="58" t="s">
        <v>100</v>
      </c>
      <c r="E7" s="39">
        <f>((C3*SQRT(E5))/(C5*SQRT(E3)))</f>
        <v>0.92623037837907884</v>
      </c>
      <c r="F7" s="4" t="s">
        <v>206</v>
      </c>
      <c r="G7" s="4"/>
      <c r="H7" s="4"/>
      <c r="I7" s="56" t="s">
        <v>3</v>
      </c>
      <c r="J7" s="8">
        <f t="shared" si="15"/>
        <v>10</v>
      </c>
      <c r="K7" s="50">
        <f t="shared" si="16"/>
        <v>9.4868329805051374E-2</v>
      </c>
      <c r="L7" s="8" t="str">
        <f t="shared" si="17"/>
        <v/>
      </c>
      <c r="M7" s="51" t="str">
        <f t="shared" si="18"/>
        <v/>
      </c>
      <c r="N7" s="24" t="str">
        <f t="shared" si="19"/>
        <v/>
      </c>
      <c r="O7" s="8">
        <f t="shared" si="0"/>
        <v>10</v>
      </c>
      <c r="P7" s="8">
        <f t="shared" si="12"/>
        <v>3</v>
      </c>
      <c r="R7" s="46">
        <f t="shared" si="1"/>
        <v>3.999999999999998E-2</v>
      </c>
      <c r="S7" s="3">
        <f t="shared" si="2"/>
        <v>624.13137576153576</v>
      </c>
      <c r="T7" s="3">
        <f t="shared" si="3"/>
        <v>82.585656440383843</v>
      </c>
      <c r="U7" s="3">
        <f t="shared" si="4"/>
        <v>76.493343813461337</v>
      </c>
      <c r="V7" s="3"/>
      <c r="W7" s="3">
        <f t="shared" si="5"/>
        <v>714.91475000000059</v>
      </c>
      <c r="X7" s="3">
        <f t="shared" si="6"/>
        <v>162.48062500000015</v>
      </c>
      <c r="Y7" s="3">
        <f t="shared" si="7"/>
        <v>64.992250000000055</v>
      </c>
      <c r="Z7" s="3"/>
      <c r="AA7" s="3">
        <f t="shared" si="8"/>
        <v>1078.0668750000011</v>
      </c>
      <c r="AB7" s="3">
        <f t="shared" si="9"/>
        <v>359.35562500000037</v>
      </c>
      <c r="AC7" s="3">
        <f t="shared" si="10"/>
        <v>59.892604166666729</v>
      </c>
      <c r="AD7" s="3"/>
      <c r="AE7" s="32">
        <f t="shared" si="13"/>
        <v>2.5000000000000001E-3</v>
      </c>
      <c r="AF7" s="32">
        <f t="shared" si="11"/>
        <v>1.5999999999999983E-3</v>
      </c>
      <c r="AG7" s="32">
        <f t="shared" si="14"/>
        <v>0.92623037837907884</v>
      </c>
      <c r="AH7" s="32">
        <f t="shared" si="14"/>
        <v>0.4</v>
      </c>
      <c r="AI7" s="32">
        <f t="shared" si="14"/>
        <v>0.16666666666666666</v>
      </c>
      <c r="AJ7" s="32">
        <f t="shared" si="14"/>
        <v>0.12238935010153801</v>
      </c>
      <c r="AK7" s="32">
        <f t="shared" si="14"/>
        <v>6</v>
      </c>
      <c r="AL7" s="32">
        <f t="shared" si="14"/>
        <v>2</v>
      </c>
      <c r="AM7" s="32">
        <f t="shared" si="14"/>
        <v>0</v>
      </c>
      <c r="AN7" s="32">
        <f t="shared" si="14"/>
        <v>0.1039876</v>
      </c>
      <c r="AO7" s="32">
        <f t="shared" si="14"/>
        <v>9.5828166666666659E-2</v>
      </c>
      <c r="AP7" s="43" t="s">
        <v>122</v>
      </c>
      <c r="AQ7" s="23">
        <v>7.0800000000000002E-2</v>
      </c>
      <c r="AR7" s="23">
        <v>0.1421</v>
      </c>
      <c r="AS7" s="23">
        <v>0.8165</v>
      </c>
      <c r="AT7" s="23">
        <v>2.92</v>
      </c>
      <c r="AU7" s="23">
        <v>4.3026999999999997</v>
      </c>
    </row>
    <row r="8" spans="1:47" ht="13" thickBot="1" x14ac:dyDescent="0.3">
      <c r="B8" s="57"/>
      <c r="C8" s="4"/>
      <c r="D8" s="4" t="s">
        <v>6</v>
      </c>
      <c r="E8" s="117">
        <f>(1/E7)</f>
        <v>1.0796450033846001</v>
      </c>
      <c r="F8" s="4" t="s">
        <v>207</v>
      </c>
      <c r="G8" s="118"/>
      <c r="H8" s="58" t="s">
        <v>107</v>
      </c>
      <c r="I8" s="947">
        <f>(I15*C11/C12)</f>
        <v>5.5573822702744735</v>
      </c>
      <c r="J8" s="8">
        <f t="shared" si="15"/>
        <v>13</v>
      </c>
      <c r="K8" s="50">
        <f t="shared" si="16"/>
        <v>8.3205029433784369E-2</v>
      </c>
      <c r="L8" s="8" t="str">
        <f t="shared" si="17"/>
        <v/>
      </c>
      <c r="M8" s="51" t="str">
        <f t="shared" si="18"/>
        <v/>
      </c>
      <c r="N8" s="24" t="str">
        <f t="shared" si="19"/>
        <v/>
      </c>
      <c r="O8" s="8">
        <f t="shared" si="0"/>
        <v>13</v>
      </c>
      <c r="P8" s="8">
        <f t="shared" si="12"/>
        <v>3</v>
      </c>
      <c r="R8" s="46">
        <f t="shared" si="1"/>
        <v>4.2499999999999982E-2</v>
      </c>
      <c r="S8" s="3">
        <f t="shared" si="2"/>
        <v>552.863779221291</v>
      </c>
      <c r="T8" s="3">
        <f t="shared" si="3"/>
        <v>73.155460376256954</v>
      </c>
      <c r="U8" s="3">
        <f t="shared" si="4"/>
        <v>67.758809744796181</v>
      </c>
      <c r="V8" s="3"/>
      <c r="W8" s="3">
        <f t="shared" si="5"/>
        <v>633.28088581314933</v>
      </c>
      <c r="X8" s="3">
        <f t="shared" si="6"/>
        <v>143.92747404844303</v>
      </c>
      <c r="Y8" s="3">
        <f t="shared" si="7"/>
        <v>57.570989619377215</v>
      </c>
      <c r="Z8" s="3"/>
      <c r="AA8" s="3">
        <f t="shared" si="8"/>
        <v>954.96581314878983</v>
      </c>
      <c r="AB8" s="3">
        <f t="shared" si="9"/>
        <v>318.32193771626328</v>
      </c>
      <c r="AC8" s="3">
        <f t="shared" si="10"/>
        <v>53.053656286043875</v>
      </c>
      <c r="AD8" s="3"/>
      <c r="AE8" s="32">
        <f t="shared" si="13"/>
        <v>2.5000000000000001E-3</v>
      </c>
      <c r="AF8" s="32">
        <f t="shared" si="11"/>
        <v>1.8062499999999984E-3</v>
      </c>
      <c r="AG8" s="32">
        <f t="shared" si="14"/>
        <v>0.92623037837907884</v>
      </c>
      <c r="AH8" s="32">
        <f t="shared" si="14"/>
        <v>0.4</v>
      </c>
      <c r="AI8" s="32">
        <f t="shared" si="14"/>
        <v>0.16666666666666666</v>
      </c>
      <c r="AJ8" s="32">
        <f t="shared" si="14"/>
        <v>0.12238935010153801</v>
      </c>
      <c r="AK8" s="32">
        <f t="shared" si="14"/>
        <v>6</v>
      </c>
      <c r="AL8" s="32">
        <f t="shared" si="14"/>
        <v>2</v>
      </c>
      <c r="AM8" s="32">
        <f t="shared" si="14"/>
        <v>0</v>
      </c>
      <c r="AN8" s="32">
        <f t="shared" si="14"/>
        <v>0.1039876</v>
      </c>
      <c r="AO8" s="32">
        <f t="shared" si="14"/>
        <v>9.5828166666666659E-2</v>
      </c>
      <c r="AP8" s="21">
        <v>4</v>
      </c>
      <c r="AQ8" s="23">
        <v>6.8099999999999994E-2</v>
      </c>
      <c r="AR8" s="23">
        <v>0.1366</v>
      </c>
      <c r="AS8" s="23">
        <v>0.76490000000000002</v>
      </c>
      <c r="AT8" s="23">
        <v>2.3534000000000002</v>
      </c>
      <c r="AU8" s="23">
        <v>3.1823999999999999</v>
      </c>
    </row>
    <row r="9" spans="1:47" ht="13.5" thickBot="1" x14ac:dyDescent="0.35">
      <c r="B9" s="113"/>
      <c r="C9" s="397" t="s">
        <v>7</v>
      </c>
      <c r="D9" s="565">
        <v>0.06</v>
      </c>
      <c r="E9" s="4" t="s">
        <v>3</v>
      </c>
      <c r="F9" s="4"/>
      <c r="G9" s="4" t="s">
        <v>3</v>
      </c>
      <c r="H9" s="569" t="s">
        <v>177</v>
      </c>
      <c r="I9" s="570" t="s">
        <v>232</v>
      </c>
      <c r="J9" s="8">
        <f t="shared" si="15"/>
        <v>16</v>
      </c>
      <c r="K9" s="50">
        <f t="shared" si="16"/>
        <v>7.4999999999999997E-2</v>
      </c>
      <c r="L9" s="8" t="str">
        <f t="shared" si="17"/>
        <v/>
      </c>
      <c r="M9" s="51" t="str">
        <f t="shared" si="18"/>
        <v/>
      </c>
      <c r="N9" s="24" t="str">
        <f t="shared" si="19"/>
        <v/>
      </c>
      <c r="O9" s="8">
        <f t="shared" si="0"/>
        <v>16</v>
      </c>
      <c r="P9" s="8">
        <f t="shared" si="12"/>
        <v>3</v>
      </c>
      <c r="R9" s="46">
        <f t="shared" si="1"/>
        <v>4.4999999999999984E-2</v>
      </c>
      <c r="S9" s="3">
        <f t="shared" si="2"/>
        <v>493.14084010787997</v>
      </c>
      <c r="T9" s="3">
        <f t="shared" si="3"/>
        <v>65.252864347957583</v>
      </c>
      <c r="U9" s="3">
        <f t="shared" si="4"/>
        <v>60.439185235327457</v>
      </c>
      <c r="V9" s="3"/>
      <c r="W9" s="3">
        <f t="shared" si="5"/>
        <v>564.87091358024736</v>
      </c>
      <c r="X9" s="3">
        <f t="shared" si="6"/>
        <v>128.37975308641984</v>
      </c>
      <c r="Y9" s="3">
        <f t="shared" si="7"/>
        <v>51.35190123456794</v>
      </c>
      <c r="Z9" s="3"/>
      <c r="AA9" s="3">
        <f t="shared" si="8"/>
        <v>851.80592592592643</v>
      </c>
      <c r="AB9" s="3">
        <f t="shared" si="9"/>
        <v>283.9353086419755</v>
      </c>
      <c r="AC9" s="3">
        <f t="shared" si="10"/>
        <v>47.322551440329249</v>
      </c>
      <c r="AD9" s="3"/>
      <c r="AE9" s="32">
        <f t="shared" si="13"/>
        <v>2.5000000000000001E-3</v>
      </c>
      <c r="AF9" s="32">
        <f t="shared" si="11"/>
        <v>2.0249999999999986E-3</v>
      </c>
      <c r="AG9" s="32">
        <f t="shared" si="14"/>
        <v>0.92623037837907884</v>
      </c>
      <c r="AH9" s="32">
        <f t="shared" si="14"/>
        <v>0.4</v>
      </c>
      <c r="AI9" s="32">
        <f t="shared" si="14"/>
        <v>0.16666666666666666</v>
      </c>
      <c r="AJ9" s="32">
        <f t="shared" si="14"/>
        <v>0.12238935010153801</v>
      </c>
      <c r="AK9" s="32">
        <f t="shared" si="14"/>
        <v>6</v>
      </c>
      <c r="AL9" s="32">
        <f t="shared" si="14"/>
        <v>2</v>
      </c>
      <c r="AM9" s="32">
        <f t="shared" si="14"/>
        <v>0</v>
      </c>
      <c r="AN9" s="32">
        <f t="shared" si="14"/>
        <v>0.1039876</v>
      </c>
      <c r="AO9" s="32">
        <f t="shared" si="14"/>
        <v>9.5828166666666659E-2</v>
      </c>
      <c r="AP9" s="21">
        <v>5</v>
      </c>
      <c r="AQ9" s="23">
        <v>6.6699999999999995E-2</v>
      </c>
      <c r="AR9" s="23">
        <v>0.1338</v>
      </c>
      <c r="AS9" s="23">
        <v>0.74070000000000003</v>
      </c>
      <c r="AT9" s="23">
        <v>2.1318000000000001</v>
      </c>
      <c r="AU9" s="23">
        <v>2.7764000000000002</v>
      </c>
    </row>
    <row r="10" spans="1:47" ht="13" thickBot="1" x14ac:dyDescent="0.3">
      <c r="B10" s="112" t="s">
        <v>3</v>
      </c>
      <c r="C10" s="4"/>
      <c r="D10" s="4"/>
      <c r="E10" s="4"/>
      <c r="F10" s="4"/>
      <c r="G10" s="4"/>
      <c r="H10" s="569" t="s">
        <v>178</v>
      </c>
      <c r="I10" s="570" t="s">
        <v>231</v>
      </c>
      <c r="J10" s="8">
        <f t="shared" si="15"/>
        <v>19</v>
      </c>
      <c r="K10" s="50">
        <f t="shared" si="16"/>
        <v>6.8824720161168515E-2</v>
      </c>
      <c r="L10" s="8" t="str">
        <f t="shared" si="17"/>
        <v/>
      </c>
      <c r="M10" s="51" t="str">
        <f t="shared" si="18"/>
        <v/>
      </c>
      <c r="N10" s="24" t="str">
        <f t="shared" si="19"/>
        <v/>
      </c>
      <c r="O10" s="8">
        <f t="shared" si="0"/>
        <v>19</v>
      </c>
      <c r="P10" s="8">
        <f t="shared" si="12"/>
        <v>3</v>
      </c>
      <c r="R10" s="46">
        <f t="shared" si="1"/>
        <v>4.7499999999999987E-2</v>
      </c>
      <c r="S10" s="3">
        <f t="shared" si="2"/>
        <v>442.59731909959294</v>
      </c>
      <c r="T10" s="3">
        <f t="shared" si="3"/>
        <v>58.564897641934216</v>
      </c>
      <c r="U10" s="3">
        <f t="shared" si="4"/>
        <v>54.244587302620751</v>
      </c>
      <c r="V10" s="3"/>
      <c r="W10" s="3">
        <f t="shared" si="5"/>
        <v>506.97555678670386</v>
      </c>
      <c r="X10" s="3">
        <f t="shared" si="6"/>
        <v>115.2217174515236</v>
      </c>
      <c r="Y10" s="3">
        <f t="shared" si="7"/>
        <v>46.088686980609445</v>
      </c>
      <c r="Z10" s="3"/>
      <c r="AA10" s="3">
        <f t="shared" si="8"/>
        <v>764.50171745152386</v>
      </c>
      <c r="AB10" s="3">
        <f t="shared" si="9"/>
        <v>254.83390581717464</v>
      </c>
      <c r="AC10" s="3">
        <f t="shared" si="10"/>
        <v>42.472317636195768</v>
      </c>
      <c r="AD10" s="3"/>
      <c r="AE10" s="32">
        <f t="shared" si="13"/>
        <v>2.5000000000000001E-3</v>
      </c>
      <c r="AF10" s="32">
        <f t="shared" si="11"/>
        <v>2.2562499999999987E-3</v>
      </c>
      <c r="AG10" s="32">
        <f t="shared" si="14"/>
        <v>0.92623037837907884</v>
      </c>
      <c r="AH10" s="32">
        <f t="shared" si="14"/>
        <v>0.4</v>
      </c>
      <c r="AI10" s="32">
        <f t="shared" si="14"/>
        <v>0.16666666666666666</v>
      </c>
      <c r="AJ10" s="32">
        <f t="shared" si="14"/>
        <v>0.12238935010153801</v>
      </c>
      <c r="AK10" s="32">
        <f t="shared" si="14"/>
        <v>6</v>
      </c>
      <c r="AL10" s="32">
        <f t="shared" si="14"/>
        <v>2</v>
      </c>
      <c r="AM10" s="32">
        <f t="shared" si="14"/>
        <v>0</v>
      </c>
      <c r="AN10" s="32">
        <f t="shared" si="14"/>
        <v>0.1039876</v>
      </c>
      <c r="AO10" s="32">
        <f t="shared" si="14"/>
        <v>9.5828166666666659E-2</v>
      </c>
      <c r="AP10" s="21">
        <v>6</v>
      </c>
      <c r="AQ10" s="23">
        <v>6.59E-2</v>
      </c>
      <c r="AR10" s="23">
        <v>0.13220000000000001</v>
      </c>
      <c r="AS10" s="23">
        <v>0.72670000000000001</v>
      </c>
      <c r="AT10" s="23">
        <v>2.0150000000000001</v>
      </c>
      <c r="AU10" s="23">
        <v>2.5706000000000002</v>
      </c>
    </row>
    <row r="11" spans="1:47" ht="13" x14ac:dyDescent="0.3">
      <c r="B11" s="119" t="s">
        <v>8</v>
      </c>
      <c r="C11" s="419">
        <f>(C12*E7)</f>
        <v>33.997041694871669</v>
      </c>
      <c r="D11" s="464" t="s">
        <v>208</v>
      </c>
      <c r="E11" s="120">
        <f>(C3/(SQRT(C11)))</f>
        <v>5.1451813976226238E-2</v>
      </c>
      <c r="F11" s="464" t="s">
        <v>303</v>
      </c>
      <c r="G11" s="121">
        <f>(C11*E3)+(C12*E5)+H3+H4+H5</f>
        <v>277.39172256068224</v>
      </c>
      <c r="H11" s="58" t="s">
        <v>102</v>
      </c>
      <c r="I11" s="122">
        <f>(G11/C11)</f>
        <v>8.1592900067692007</v>
      </c>
      <c r="J11" s="8">
        <f t="shared" si="15"/>
        <v>22</v>
      </c>
      <c r="K11" s="50">
        <f t="shared" si="16"/>
        <v>6.3960214906683119E-2</v>
      </c>
      <c r="L11" s="8" t="str">
        <f t="shared" si="17"/>
        <v/>
      </c>
      <c r="M11" s="51" t="str">
        <f t="shared" si="18"/>
        <v/>
      </c>
      <c r="N11" s="24" t="str">
        <f t="shared" si="19"/>
        <v/>
      </c>
      <c r="O11" s="8">
        <f t="shared" si="0"/>
        <v>22</v>
      </c>
      <c r="P11" s="8">
        <f t="shared" si="12"/>
        <v>3</v>
      </c>
      <c r="R11" s="46">
        <f t="shared" si="1"/>
        <v>4.9999999999999989E-2</v>
      </c>
      <c r="S11" s="3">
        <f t="shared" si="2"/>
        <v>399.44408048738262</v>
      </c>
      <c r="T11" s="3">
        <f t="shared" si="3"/>
        <v>52.854820121845634</v>
      </c>
      <c r="U11" s="3">
        <f t="shared" si="4"/>
        <v>48.955740040615233</v>
      </c>
      <c r="V11" s="3"/>
      <c r="W11" s="3">
        <f t="shared" si="5"/>
        <v>457.54544000000021</v>
      </c>
      <c r="X11" s="3">
        <f t="shared" si="6"/>
        <v>103.98760000000004</v>
      </c>
      <c r="Y11" s="3">
        <f t="shared" si="7"/>
        <v>41.595040000000019</v>
      </c>
      <c r="Z11" s="3"/>
      <c r="AA11" s="3">
        <f t="shared" si="8"/>
        <v>689.96280000000036</v>
      </c>
      <c r="AB11" s="3">
        <f t="shared" si="9"/>
        <v>229.98760000000013</v>
      </c>
      <c r="AC11" s="3">
        <f t="shared" si="10"/>
        <v>38.331266666666686</v>
      </c>
      <c r="AD11" s="3"/>
      <c r="AE11" s="32">
        <f t="shared" si="13"/>
        <v>2.5000000000000001E-3</v>
      </c>
      <c r="AF11" s="32">
        <f t="shared" si="11"/>
        <v>2.4999999999999988E-3</v>
      </c>
      <c r="AG11" s="32">
        <f t="shared" si="14"/>
        <v>0.92623037837907884</v>
      </c>
      <c r="AH11" s="32">
        <f t="shared" si="14"/>
        <v>0.4</v>
      </c>
      <c r="AI11" s="32">
        <f t="shared" si="14"/>
        <v>0.16666666666666666</v>
      </c>
      <c r="AJ11" s="32">
        <f t="shared" si="14"/>
        <v>0.12238935010153801</v>
      </c>
      <c r="AK11" s="32">
        <f t="shared" si="14"/>
        <v>6</v>
      </c>
      <c r="AL11" s="32">
        <f t="shared" si="14"/>
        <v>2</v>
      </c>
      <c r="AM11" s="32">
        <f t="shared" si="14"/>
        <v>0</v>
      </c>
      <c r="AN11" s="32">
        <f t="shared" si="14"/>
        <v>0.1039876</v>
      </c>
      <c r="AO11" s="32">
        <f t="shared" si="14"/>
        <v>9.5828166666666659E-2</v>
      </c>
      <c r="AP11" s="21">
        <v>7</v>
      </c>
      <c r="AQ11" s="23">
        <v>6.54E-2</v>
      </c>
      <c r="AR11" s="23">
        <v>0.13109999999999999</v>
      </c>
      <c r="AS11" s="23">
        <v>0.71760000000000002</v>
      </c>
      <c r="AT11" s="23">
        <v>1.9432</v>
      </c>
      <c r="AU11" s="23">
        <v>2.4468999999999999</v>
      </c>
    </row>
    <row r="12" spans="1:47" ht="13.5" thickBot="1" x14ac:dyDescent="0.35">
      <c r="B12" s="123" t="s">
        <v>12</v>
      </c>
      <c r="C12" s="420">
        <f>((C3*C3)+(C5*C5*E7))/(D9*D9*E7)</f>
        <v>36.704736195726113</v>
      </c>
      <c r="D12" s="465" t="s">
        <v>209</v>
      </c>
      <c r="E12" s="124">
        <f>(C5/(SQRT(C12)))</f>
        <v>3.0866014296565887E-2</v>
      </c>
      <c r="F12" s="60"/>
      <c r="G12" s="60"/>
      <c r="H12" s="125" t="s">
        <v>142</v>
      </c>
      <c r="I12" s="126">
        <f>SQRT(C11)*D9</f>
        <v>0.34984189300530893</v>
      </c>
      <c r="J12" s="8">
        <f t="shared" si="15"/>
        <v>25</v>
      </c>
      <c r="K12" s="50">
        <f t="shared" si="16"/>
        <v>0.06</v>
      </c>
      <c r="L12" s="8" t="str">
        <f t="shared" si="17"/>
        <v/>
      </c>
      <c r="M12" s="51" t="str">
        <f t="shared" si="18"/>
        <v/>
      </c>
      <c r="N12" s="24" t="str">
        <f t="shared" si="19"/>
        <v/>
      </c>
      <c r="O12" s="8">
        <f t="shared" si="0"/>
        <v>25</v>
      </c>
      <c r="P12" s="8">
        <f t="shared" si="12"/>
        <v>3</v>
      </c>
      <c r="R12" s="46">
        <f t="shared" si="1"/>
        <v>5.2499999999999991E-2</v>
      </c>
      <c r="S12" s="3">
        <f t="shared" si="2"/>
        <v>362.30755599762585</v>
      </c>
      <c r="T12" s="3">
        <f t="shared" si="3"/>
        <v>47.940879929111667</v>
      </c>
      <c r="U12" s="3">
        <f t="shared" si="4"/>
        <v>44.404299356567087</v>
      </c>
      <c r="V12" s="3"/>
      <c r="W12" s="3">
        <f t="shared" si="5"/>
        <v>415.00720181405904</v>
      </c>
      <c r="X12" s="3">
        <f t="shared" si="6"/>
        <v>94.319818594104333</v>
      </c>
      <c r="Y12" s="3">
        <f t="shared" si="7"/>
        <v>37.727927437641732</v>
      </c>
      <c r="Z12" s="3"/>
      <c r="AA12" s="3">
        <f t="shared" si="8"/>
        <v>625.81659863945595</v>
      </c>
      <c r="AB12" s="3">
        <f t="shared" si="9"/>
        <v>208.60553287981867</v>
      </c>
      <c r="AC12" s="3">
        <f t="shared" si="10"/>
        <v>34.767588813303107</v>
      </c>
      <c r="AD12" s="3"/>
      <c r="AE12" s="32">
        <f t="shared" si="13"/>
        <v>2.5000000000000001E-3</v>
      </c>
      <c r="AF12" s="32">
        <f t="shared" si="11"/>
        <v>2.7562499999999992E-3</v>
      </c>
      <c r="AG12" s="32">
        <f t="shared" si="14"/>
        <v>0.92623037837907884</v>
      </c>
      <c r="AH12" s="32">
        <f t="shared" si="14"/>
        <v>0.4</v>
      </c>
      <c r="AI12" s="32">
        <f t="shared" si="14"/>
        <v>0.16666666666666666</v>
      </c>
      <c r="AJ12" s="32">
        <f t="shared" si="14"/>
        <v>0.12238935010153801</v>
      </c>
      <c r="AK12" s="32">
        <f t="shared" si="14"/>
        <v>6</v>
      </c>
      <c r="AL12" s="32">
        <f t="shared" si="14"/>
        <v>2</v>
      </c>
      <c r="AM12" s="32">
        <f t="shared" si="14"/>
        <v>0</v>
      </c>
      <c r="AN12" s="32">
        <f t="shared" si="14"/>
        <v>0.1039876</v>
      </c>
      <c r="AO12" s="32">
        <f t="shared" si="14"/>
        <v>9.5828166666666659E-2</v>
      </c>
      <c r="AP12" s="21">
        <v>8</v>
      </c>
      <c r="AQ12" s="23">
        <v>6.5000000000000002E-2</v>
      </c>
      <c r="AR12" s="23">
        <v>0.1303</v>
      </c>
      <c r="AS12" s="23">
        <v>0.71109999999999995</v>
      </c>
      <c r="AT12" s="23">
        <v>1.8946000000000001</v>
      </c>
      <c r="AU12" s="23">
        <v>2.3645999999999998</v>
      </c>
    </row>
    <row r="13" spans="1:47" ht="13.5" thickBot="1" x14ac:dyDescent="0.35">
      <c r="B13" s="165" t="s">
        <v>51</v>
      </c>
      <c r="C13" s="571" t="s">
        <v>52</v>
      </c>
      <c r="D13" s="948"/>
      <c r="E13" s="948"/>
      <c r="F13" s="948"/>
      <c r="G13" s="948"/>
      <c r="H13" s="948"/>
      <c r="I13" s="948"/>
      <c r="J13" s="8">
        <f t="shared" si="15"/>
        <v>28</v>
      </c>
      <c r="K13" s="50">
        <f t="shared" si="16"/>
        <v>5.6694670951384078E-2</v>
      </c>
      <c r="L13" s="8">
        <f t="shared" si="17"/>
        <v>90.660370370370273</v>
      </c>
      <c r="M13" s="51">
        <f t="shared" si="18"/>
        <v>1.9639610121239326E-2</v>
      </c>
      <c r="N13" s="24">
        <f t="shared" si="19"/>
        <v>349.32074074074058</v>
      </c>
      <c r="O13" s="8">
        <f t="shared" si="0"/>
        <v>28</v>
      </c>
      <c r="P13" s="8">
        <f t="shared" si="12"/>
        <v>3</v>
      </c>
      <c r="R13" s="46">
        <f t="shared" si="1"/>
        <v>5.4999999999999993E-2</v>
      </c>
      <c r="S13" s="3">
        <f t="shared" si="2"/>
        <v>330.11907478296075</v>
      </c>
      <c r="T13" s="3">
        <f t="shared" si="3"/>
        <v>43.681669522186461</v>
      </c>
      <c r="U13" s="3">
        <f t="shared" si="4"/>
        <v>40.459289289764641</v>
      </c>
      <c r="V13" s="3"/>
      <c r="W13" s="3">
        <f t="shared" si="5"/>
        <v>378.13672727272728</v>
      </c>
      <c r="X13" s="3">
        <f t="shared" si="6"/>
        <v>85.9401652892562</v>
      </c>
      <c r="Y13" s="3">
        <f t="shared" si="7"/>
        <v>34.376066115702478</v>
      </c>
      <c r="Z13" s="3"/>
      <c r="AA13" s="3">
        <f t="shared" si="8"/>
        <v>570.21719008264472</v>
      </c>
      <c r="AB13" s="3">
        <f t="shared" si="9"/>
        <v>190.07239669421492</v>
      </c>
      <c r="AC13" s="3">
        <f t="shared" si="10"/>
        <v>31.678732782369153</v>
      </c>
      <c r="AD13" s="3"/>
      <c r="AE13" s="32">
        <f t="shared" si="13"/>
        <v>2.5000000000000001E-3</v>
      </c>
      <c r="AF13" s="32">
        <f t="shared" si="11"/>
        <v>3.0249999999999995E-3</v>
      </c>
      <c r="AG13" s="32">
        <f t="shared" si="14"/>
        <v>0.92623037837907884</v>
      </c>
      <c r="AH13" s="32">
        <f t="shared" si="14"/>
        <v>0.4</v>
      </c>
      <c r="AI13" s="32">
        <f t="shared" si="14"/>
        <v>0.16666666666666666</v>
      </c>
      <c r="AJ13" s="32">
        <f t="shared" si="14"/>
        <v>0.12238935010153801</v>
      </c>
      <c r="AK13" s="32">
        <f t="shared" si="14"/>
        <v>6</v>
      </c>
      <c r="AL13" s="32">
        <f t="shared" si="14"/>
        <v>2</v>
      </c>
      <c r="AM13" s="32">
        <f t="shared" si="14"/>
        <v>0</v>
      </c>
      <c r="AN13" s="32">
        <f t="shared" si="14"/>
        <v>0.1039876</v>
      </c>
      <c r="AO13" s="32">
        <f t="shared" si="14"/>
        <v>9.5828166666666659E-2</v>
      </c>
      <c r="AP13" s="21">
        <v>9</v>
      </c>
      <c r="AQ13" s="23">
        <v>6.4699999999999994E-2</v>
      </c>
      <c r="AR13" s="23">
        <v>0.12970000000000001</v>
      </c>
      <c r="AS13" s="23">
        <v>0.70640000000000003</v>
      </c>
      <c r="AT13" s="23">
        <v>1.8594999999999999</v>
      </c>
      <c r="AU13" s="23">
        <v>2.306</v>
      </c>
    </row>
    <row r="14" spans="1:47" ht="13.5" thickBot="1" x14ac:dyDescent="0.35">
      <c r="A14" s="940">
        <v>2</v>
      </c>
      <c r="B14" s="148" t="s">
        <v>131</v>
      </c>
      <c r="C14" s="418"/>
      <c r="D14" s="150"/>
      <c r="E14" s="149"/>
      <c r="F14" s="69"/>
      <c r="G14" s="949" t="s">
        <v>106</v>
      </c>
      <c r="H14" s="69"/>
      <c r="I14" s="64">
        <f>IF(I15&gt;0,(I15*C15/C16),"")</f>
        <v>2.4</v>
      </c>
      <c r="J14" s="24">
        <f t="shared" si="15"/>
        <v>31</v>
      </c>
      <c r="K14" s="50">
        <f t="shared" si="16"/>
        <v>5.3881590608032472E-2</v>
      </c>
      <c r="L14" s="8">
        <f t="shared" si="17"/>
        <v>50.186990740740761</v>
      </c>
      <c r="M14" s="51">
        <f t="shared" si="18"/>
        <v>2.6396480703843588E-2</v>
      </c>
      <c r="N14" s="24">
        <f t="shared" si="19"/>
        <v>286.37398148148151</v>
      </c>
      <c r="O14" s="8">
        <f t="shared" si="0"/>
        <v>31</v>
      </c>
      <c r="P14" s="8">
        <f t="shared" si="12"/>
        <v>3</v>
      </c>
      <c r="R14" s="47">
        <f t="shared" si="1"/>
        <v>5.7499999999999996E-2</v>
      </c>
      <c r="S14" s="3">
        <f t="shared" si="2"/>
        <v>302.03711189972216</v>
      </c>
      <c r="T14" s="3">
        <f t="shared" si="3"/>
        <v>39.965837521244325</v>
      </c>
      <c r="U14" s="3">
        <f t="shared" si="4"/>
        <v>37.017572809538919</v>
      </c>
      <c r="V14" s="3"/>
      <c r="W14" s="3">
        <f t="shared" si="5"/>
        <v>345.97008695652181</v>
      </c>
      <c r="X14" s="3">
        <f t="shared" si="6"/>
        <v>78.629565217391317</v>
      </c>
      <c r="Y14" s="3">
        <f t="shared" si="7"/>
        <v>31.45182608695653</v>
      </c>
      <c r="Z14" s="3"/>
      <c r="AA14" s="3">
        <f t="shared" si="8"/>
        <v>521.71100189035928</v>
      </c>
      <c r="AB14" s="3">
        <f t="shared" si="9"/>
        <v>173.90366729678644</v>
      </c>
      <c r="AC14" s="3">
        <f t="shared" si="10"/>
        <v>28.983944549464404</v>
      </c>
      <c r="AD14" s="3"/>
      <c r="AE14" s="32">
        <f t="shared" si="13"/>
        <v>2.5000000000000001E-3</v>
      </c>
      <c r="AF14" s="32">
        <f t="shared" si="11"/>
        <v>3.3062499999999993E-3</v>
      </c>
      <c r="AG14" s="32">
        <f t="shared" si="14"/>
        <v>0.92623037837907884</v>
      </c>
      <c r="AH14" s="32">
        <f t="shared" si="14"/>
        <v>0.4</v>
      </c>
      <c r="AI14" s="32">
        <f t="shared" si="14"/>
        <v>0.16666666666666666</v>
      </c>
      <c r="AJ14" s="32">
        <f t="shared" si="14"/>
        <v>0.12238935010153801</v>
      </c>
      <c r="AK14" s="32">
        <f t="shared" si="14"/>
        <v>6</v>
      </c>
      <c r="AL14" s="32">
        <f t="shared" si="14"/>
        <v>2</v>
      </c>
      <c r="AM14" s="32">
        <f t="shared" si="14"/>
        <v>0</v>
      </c>
      <c r="AN14" s="32">
        <f t="shared" si="14"/>
        <v>0.1039876</v>
      </c>
      <c r="AO14" s="32">
        <f t="shared" si="14"/>
        <v>9.5828166666666659E-2</v>
      </c>
      <c r="AP14" s="21">
        <v>10</v>
      </c>
      <c r="AQ14" s="23">
        <v>6.4500000000000002E-2</v>
      </c>
      <c r="AR14" s="23">
        <v>0.1293</v>
      </c>
      <c r="AS14" s="23">
        <v>0.70269999999999999</v>
      </c>
      <c r="AT14" s="23">
        <v>1.8331</v>
      </c>
      <c r="AU14" s="23">
        <v>2.2622</v>
      </c>
    </row>
    <row r="15" spans="1:47" ht="13" x14ac:dyDescent="0.3">
      <c r="B15" s="157" t="s">
        <v>53</v>
      </c>
      <c r="C15" s="573">
        <v>40</v>
      </c>
      <c r="D15" s="155">
        <f>C92</f>
        <v>28.885444444444445</v>
      </c>
      <c r="E15" s="153" t="s">
        <v>9</v>
      </c>
      <c r="F15" s="103">
        <f>(C3/(SQRT(C15)))</f>
        <v>4.7434164902525687E-2</v>
      </c>
      <c r="G15" s="68"/>
      <c r="H15" s="151" t="s">
        <v>54</v>
      </c>
      <c r="I15" s="575">
        <v>6</v>
      </c>
      <c r="J15" s="950">
        <f>+O15</f>
        <v>34</v>
      </c>
      <c r="K15" s="50">
        <f t="shared" si="16"/>
        <v>5.1449575542752646E-2</v>
      </c>
      <c r="L15" s="8">
        <f t="shared" si="17"/>
        <v>36.695864197530852</v>
      </c>
      <c r="M15" s="51">
        <f t="shared" si="18"/>
        <v>3.0869745325651596E-2</v>
      </c>
      <c r="N15" s="24">
        <f t="shared" si="19"/>
        <v>277.3917283950617</v>
      </c>
      <c r="O15" s="8">
        <f>N1+M2</f>
        <v>34</v>
      </c>
      <c r="P15" s="8">
        <f t="shared" si="12"/>
        <v>3</v>
      </c>
      <c r="Q15" s="35" t="s">
        <v>55</v>
      </c>
      <c r="R15" s="452">
        <f>U1</f>
        <v>0.06</v>
      </c>
      <c r="S15" s="3">
        <f t="shared" si="2"/>
        <v>277.39172256068224</v>
      </c>
      <c r="T15" s="3">
        <f t="shared" si="3"/>
        <v>36.704736195726113</v>
      </c>
      <c r="U15" s="3">
        <f t="shared" si="4"/>
        <v>33.997041694871669</v>
      </c>
      <c r="V15" s="3"/>
      <c r="W15" s="3">
        <f t="shared" si="5"/>
        <v>317.73988888888891</v>
      </c>
      <c r="X15" s="3">
        <f t="shared" si="6"/>
        <v>72.213611111111106</v>
      </c>
      <c r="Y15" s="3">
        <f t="shared" si="7"/>
        <v>28.885444444444445</v>
      </c>
      <c r="Z15" s="3"/>
      <c r="AA15" s="3">
        <f t="shared" si="8"/>
        <v>479.14083333333332</v>
      </c>
      <c r="AB15" s="3">
        <f t="shared" si="9"/>
        <v>159.71361111111111</v>
      </c>
      <c r="AC15" s="3">
        <f t="shared" si="10"/>
        <v>26.618935185185183</v>
      </c>
      <c r="AD15" s="3"/>
      <c r="AE15" s="32">
        <f t="shared" si="13"/>
        <v>2.5000000000000001E-3</v>
      </c>
      <c r="AF15" s="32">
        <f t="shared" si="11"/>
        <v>3.5999999999999999E-3</v>
      </c>
      <c r="AG15" s="32">
        <f t="shared" si="14"/>
        <v>0.92623037837907884</v>
      </c>
      <c r="AH15" s="32">
        <f t="shared" si="14"/>
        <v>0.4</v>
      </c>
      <c r="AI15" s="32">
        <f t="shared" si="14"/>
        <v>0.16666666666666666</v>
      </c>
      <c r="AJ15" s="32">
        <f t="shared" si="14"/>
        <v>0.12238935010153801</v>
      </c>
      <c r="AK15" s="32">
        <f t="shared" si="14"/>
        <v>6</v>
      </c>
      <c r="AL15" s="32">
        <f t="shared" si="14"/>
        <v>2</v>
      </c>
      <c r="AM15" s="32">
        <f t="shared" si="14"/>
        <v>0</v>
      </c>
      <c r="AN15" s="32">
        <f t="shared" si="14"/>
        <v>0.1039876</v>
      </c>
      <c r="AO15" s="32">
        <f t="shared" si="14"/>
        <v>9.5828166666666659E-2</v>
      </c>
      <c r="AP15" s="21">
        <v>11</v>
      </c>
      <c r="AQ15" s="23">
        <v>6.4299999999999996E-2</v>
      </c>
      <c r="AR15" s="23">
        <v>0.12889999999999999</v>
      </c>
      <c r="AS15" s="23">
        <v>0.69979999999999998</v>
      </c>
      <c r="AT15" s="23">
        <v>1.8125</v>
      </c>
      <c r="AU15" s="23">
        <v>2.2281</v>
      </c>
    </row>
    <row r="16" spans="1:47" ht="13.5" thickBot="1" x14ac:dyDescent="0.35">
      <c r="B16" s="157" t="s">
        <v>56</v>
      </c>
      <c r="C16" s="574">
        <v>100</v>
      </c>
      <c r="D16" s="155">
        <f>C93</f>
        <v>72.213611111111106</v>
      </c>
      <c r="E16" s="151" t="s">
        <v>13</v>
      </c>
      <c r="F16" s="103">
        <f>(C5/(SQRT(C16)))</f>
        <v>1.8700000000000001E-2</v>
      </c>
      <c r="G16" s="68"/>
      <c r="H16" s="152" t="s">
        <v>104</v>
      </c>
      <c r="I16" s="65">
        <f>IF(I15&gt;0,(I15*C15),"")</f>
        <v>240</v>
      </c>
      <c r="J16" s="8">
        <f t="shared" si="15"/>
        <v>37</v>
      </c>
      <c r="K16" s="50">
        <f t="shared" si="16"/>
        <v>4.9319696191607185E-2</v>
      </c>
      <c r="L16" s="8">
        <f t="shared" si="17"/>
        <v>29.950300925925927</v>
      </c>
      <c r="M16" s="51">
        <f t="shared" si="18"/>
        <v>3.4169687847089965E-2</v>
      </c>
      <c r="N16" s="24">
        <f t="shared" si="19"/>
        <v>281.90060185185183</v>
      </c>
      <c r="O16" s="8">
        <f t="shared" ref="O16:O24" si="20">O15+P15</f>
        <v>37</v>
      </c>
      <c r="P16" s="8">
        <f t="shared" si="12"/>
        <v>3</v>
      </c>
      <c r="R16" s="46">
        <f t="shared" ref="R16:R26" si="21">R15+AE17</f>
        <v>6.25E-2</v>
      </c>
      <c r="S16" s="3">
        <f t="shared" si="2"/>
        <v>255.64421151192477</v>
      </c>
      <c r="T16" s="3">
        <f t="shared" si="3"/>
        <v>33.827084877981186</v>
      </c>
      <c r="U16" s="3">
        <f t="shared" si="4"/>
        <v>31.33167362599373</v>
      </c>
      <c r="V16" s="3"/>
      <c r="W16" s="3">
        <f t="shared" si="5"/>
        <v>292.82908159999999</v>
      </c>
      <c r="X16" s="3">
        <f t="shared" si="6"/>
        <v>66.552064000000001</v>
      </c>
      <c r="Y16" s="3">
        <f t="shared" si="7"/>
        <v>26.620825600000003</v>
      </c>
      <c r="Z16" s="3"/>
      <c r="AA16" s="3">
        <f t="shared" si="8"/>
        <v>441.57619199999999</v>
      </c>
      <c r="AB16" s="3">
        <f t="shared" si="9"/>
        <v>147.19206399999999</v>
      </c>
      <c r="AC16" s="3">
        <f t="shared" si="10"/>
        <v>24.532010666666665</v>
      </c>
      <c r="AD16" s="3"/>
      <c r="AE16" s="32">
        <f t="shared" si="13"/>
        <v>2.5000000000000001E-3</v>
      </c>
      <c r="AF16" s="32">
        <f t="shared" si="11"/>
        <v>3.90625E-3</v>
      </c>
      <c r="AG16" s="32">
        <f t="shared" si="14"/>
        <v>0.92623037837907884</v>
      </c>
      <c r="AH16" s="32">
        <f t="shared" si="14"/>
        <v>0.4</v>
      </c>
      <c r="AI16" s="32">
        <f t="shared" si="14"/>
        <v>0.16666666666666666</v>
      </c>
      <c r="AJ16" s="32">
        <f t="shared" si="14"/>
        <v>0.12238935010153801</v>
      </c>
      <c r="AK16" s="32">
        <f t="shared" si="14"/>
        <v>6</v>
      </c>
      <c r="AL16" s="32">
        <f t="shared" si="14"/>
        <v>2</v>
      </c>
      <c r="AM16" s="32">
        <f t="shared" si="14"/>
        <v>0</v>
      </c>
      <c r="AN16" s="32">
        <f t="shared" si="14"/>
        <v>0.1039876</v>
      </c>
      <c r="AO16" s="32">
        <f t="shared" si="14"/>
        <v>9.5828166666666659E-2</v>
      </c>
      <c r="AP16" s="21">
        <v>12</v>
      </c>
      <c r="AQ16" s="23">
        <v>6.4199999999999993E-2</v>
      </c>
      <c r="AR16" s="23">
        <v>0.12859999999999999</v>
      </c>
      <c r="AS16" s="23">
        <v>0.68740000000000001</v>
      </c>
      <c r="AT16" s="23">
        <v>1.7959000000000001</v>
      </c>
      <c r="AU16" s="23">
        <v>2.2010000000000001</v>
      </c>
    </row>
    <row r="17" spans="1:47" ht="13.5" thickBot="1" x14ac:dyDescent="0.35">
      <c r="B17" s="337" t="s">
        <v>181</v>
      </c>
      <c r="C17" s="335" t="s">
        <v>57</v>
      </c>
      <c r="D17" s="427">
        <f>M28</f>
        <v>0.87301510531365456</v>
      </c>
      <c r="E17" s="154" t="s">
        <v>58</v>
      </c>
      <c r="F17" s="421">
        <f>(SQRT(F15*F15+F16*F16))</f>
        <v>5.098715524521838E-2</v>
      </c>
      <c r="G17" s="68"/>
      <c r="H17" s="152" t="s">
        <v>221</v>
      </c>
      <c r="I17" s="66">
        <f>IF(I15="","",C16/I15)</f>
        <v>16.666666666666668</v>
      </c>
      <c r="J17" s="8">
        <f t="shared" si="15"/>
        <v>40</v>
      </c>
      <c r="K17" s="50">
        <f t="shared" si="16"/>
        <v>4.7434164902525687E-2</v>
      </c>
      <c r="L17" s="8">
        <f t="shared" si="17"/>
        <v>25.902962962962963</v>
      </c>
      <c r="M17" s="51">
        <f t="shared" si="18"/>
        <v>3.6742346141747671E-2</v>
      </c>
      <c r="N17" s="24">
        <f t="shared" si="19"/>
        <v>291.80592592592592</v>
      </c>
      <c r="O17" s="8">
        <f t="shared" si="20"/>
        <v>40</v>
      </c>
      <c r="P17" s="8">
        <f t="shared" si="12"/>
        <v>3</v>
      </c>
      <c r="R17" s="46">
        <f t="shared" si="21"/>
        <v>6.5000000000000002E-2</v>
      </c>
      <c r="S17" s="3">
        <f t="shared" si="2"/>
        <v>236.35744407537419</v>
      </c>
      <c r="T17" s="3">
        <f t="shared" si="3"/>
        <v>31.275041492216332</v>
      </c>
      <c r="U17" s="3">
        <f t="shared" si="4"/>
        <v>28.967893515156923</v>
      </c>
      <c r="V17" s="3"/>
      <c r="W17" s="3">
        <f t="shared" si="5"/>
        <v>270.73694674556208</v>
      </c>
      <c r="X17" s="3">
        <f t="shared" si="6"/>
        <v>61.531124260355021</v>
      </c>
      <c r="Y17" s="3">
        <f t="shared" si="7"/>
        <v>24.612449704142008</v>
      </c>
      <c r="Z17" s="3"/>
      <c r="AA17" s="3">
        <f t="shared" si="8"/>
        <v>408.26201183431942</v>
      </c>
      <c r="AB17" s="3">
        <f t="shared" si="9"/>
        <v>136.08733727810647</v>
      </c>
      <c r="AC17" s="3">
        <f t="shared" si="10"/>
        <v>22.681222879684412</v>
      </c>
      <c r="AD17" s="3"/>
      <c r="AE17" s="32">
        <f t="shared" si="13"/>
        <v>2.5000000000000001E-3</v>
      </c>
      <c r="AF17" s="32">
        <f t="shared" si="11"/>
        <v>4.2250000000000005E-3</v>
      </c>
      <c r="AG17" s="32">
        <f t="shared" si="14"/>
        <v>0.92623037837907884</v>
      </c>
      <c r="AH17" s="32">
        <f t="shared" si="14"/>
        <v>0.4</v>
      </c>
      <c r="AI17" s="32">
        <f t="shared" si="14"/>
        <v>0.16666666666666666</v>
      </c>
      <c r="AJ17" s="32">
        <f t="shared" si="14"/>
        <v>0.12238935010153801</v>
      </c>
      <c r="AK17" s="32">
        <f t="shared" si="14"/>
        <v>6</v>
      </c>
      <c r="AL17" s="32">
        <f t="shared" si="14"/>
        <v>2</v>
      </c>
      <c r="AM17" s="32">
        <f t="shared" si="14"/>
        <v>0</v>
      </c>
      <c r="AN17" s="32">
        <f t="shared" si="14"/>
        <v>0.1039876</v>
      </c>
      <c r="AO17" s="32">
        <f t="shared" si="14"/>
        <v>9.5828166666666659E-2</v>
      </c>
      <c r="AP17" s="21">
        <v>13</v>
      </c>
      <c r="AQ17" s="23">
        <v>6.4000000000000001E-2</v>
      </c>
      <c r="AR17" s="23">
        <v>0.1283</v>
      </c>
      <c r="AS17" s="23">
        <v>0.69550000000000001</v>
      </c>
      <c r="AT17" s="23">
        <v>1.7823</v>
      </c>
      <c r="AU17" s="23">
        <v>2.1787999999999998</v>
      </c>
    </row>
    <row r="18" spans="1:47" ht="13" x14ac:dyDescent="0.3">
      <c r="B18" s="156" t="s">
        <v>3</v>
      </c>
      <c r="C18" s="336" t="s">
        <v>59</v>
      </c>
      <c r="D18" s="427">
        <f>M27</f>
        <v>0.87301510531365456</v>
      </c>
      <c r="E18" s="688" t="s">
        <v>304</v>
      </c>
      <c r="F18" s="339">
        <f>(C15*E3+C16*E5)+H3+H4+H5</f>
        <v>440</v>
      </c>
      <c r="G18" s="68"/>
      <c r="H18" s="152" t="s">
        <v>11</v>
      </c>
      <c r="I18" s="66">
        <f>(F18/C15)</f>
        <v>11</v>
      </c>
      <c r="J18" s="8">
        <f t="shared" si="15"/>
        <v>43</v>
      </c>
      <c r="K18" s="50">
        <f t="shared" si="16"/>
        <v>4.5749571099781401E-2</v>
      </c>
      <c r="L18" s="8">
        <f t="shared" si="17"/>
        <v>23.204737654320997</v>
      </c>
      <c r="M18" s="51">
        <f t="shared" si="18"/>
        <v>3.8819798353237824E-2</v>
      </c>
      <c r="N18" s="24">
        <f t="shared" si="19"/>
        <v>304.40947530864202</v>
      </c>
      <c r="O18" s="8">
        <f t="shared" si="20"/>
        <v>43</v>
      </c>
      <c r="P18" s="8">
        <f t="shared" si="12"/>
        <v>3</v>
      </c>
      <c r="R18" s="46">
        <f t="shared" si="21"/>
        <v>6.7500000000000004E-2</v>
      </c>
      <c r="S18" s="3">
        <f t="shared" si="2"/>
        <v>219.1737067146131</v>
      </c>
      <c r="T18" s="3">
        <f t="shared" si="3"/>
        <v>29.001273043536681</v>
      </c>
      <c r="U18" s="3">
        <f t="shared" si="4"/>
        <v>26.861860104589958</v>
      </c>
      <c r="V18" s="3"/>
      <c r="W18" s="3">
        <f t="shared" si="5"/>
        <v>251.05373936899861</v>
      </c>
      <c r="X18" s="3">
        <f t="shared" si="6"/>
        <v>57.057668038408771</v>
      </c>
      <c r="Y18" s="3">
        <f t="shared" si="7"/>
        <v>22.823067215363508</v>
      </c>
      <c r="Z18" s="3"/>
      <c r="AA18" s="3">
        <f t="shared" si="8"/>
        <v>378.58041152263365</v>
      </c>
      <c r="AB18" s="3">
        <f t="shared" si="9"/>
        <v>126.19347050754456</v>
      </c>
      <c r="AC18" s="3">
        <f t="shared" si="10"/>
        <v>21.032245084590759</v>
      </c>
      <c r="AD18" s="3"/>
      <c r="AE18" s="32">
        <f t="shared" si="13"/>
        <v>2.5000000000000001E-3</v>
      </c>
      <c r="AF18" s="32">
        <f t="shared" si="11"/>
        <v>4.5562500000000004E-3</v>
      </c>
      <c r="AG18" s="32">
        <f t="shared" si="14"/>
        <v>0.92623037837907884</v>
      </c>
      <c r="AH18" s="32">
        <f t="shared" si="14"/>
        <v>0.4</v>
      </c>
      <c r="AI18" s="32">
        <f t="shared" si="14"/>
        <v>0.16666666666666666</v>
      </c>
      <c r="AJ18" s="32">
        <f t="shared" si="14"/>
        <v>0.12238935010153801</v>
      </c>
      <c r="AK18" s="32">
        <f t="shared" si="14"/>
        <v>6</v>
      </c>
      <c r="AL18" s="32">
        <f t="shared" si="14"/>
        <v>2</v>
      </c>
      <c r="AM18" s="32">
        <f t="shared" si="14"/>
        <v>0</v>
      </c>
      <c r="AN18" s="32">
        <f t="shared" si="14"/>
        <v>0.1039876</v>
      </c>
      <c r="AO18" s="32">
        <f t="shared" si="14"/>
        <v>9.5828166666666659E-2</v>
      </c>
      <c r="AP18" s="21">
        <v>14</v>
      </c>
      <c r="AQ18" s="23">
        <v>6.3899999999999998E-2</v>
      </c>
      <c r="AR18" s="23">
        <v>0.12809999999999999</v>
      </c>
      <c r="AS18" s="23">
        <v>0.69379999999999997</v>
      </c>
      <c r="AT18" s="23">
        <v>1.7708999999999999</v>
      </c>
      <c r="AU18" s="23">
        <v>2.1604000000000001</v>
      </c>
    </row>
    <row r="19" spans="1:47" ht="13" thickBot="1" x14ac:dyDescent="0.3">
      <c r="B19" s="178"/>
      <c r="C19" s="70"/>
      <c r="D19" s="70"/>
      <c r="E19" s="428" t="s">
        <v>220</v>
      </c>
      <c r="F19" s="324">
        <f>(F18/G11)</f>
        <v>1.5862045050884515</v>
      </c>
      <c r="G19" s="324">
        <f>1/(F19)</f>
        <v>0.63043573309245959</v>
      </c>
      <c r="H19" s="180" t="s">
        <v>142</v>
      </c>
      <c r="I19" s="104">
        <f>SQRT(C15)*F17</f>
        <v>0.3224710839749822</v>
      </c>
      <c r="J19" s="8">
        <f t="shared" si="15"/>
        <v>46</v>
      </c>
      <c r="K19" s="50">
        <f t="shared" si="16"/>
        <v>4.4232586846469135E-2</v>
      </c>
      <c r="L19" s="8">
        <f t="shared" si="17"/>
        <v>21.27743386243386</v>
      </c>
      <c r="M19" s="51">
        <f t="shared" si="18"/>
        <v>4.0539835481530576E-2</v>
      </c>
      <c r="N19" s="24">
        <f t="shared" si="19"/>
        <v>318.55486772486773</v>
      </c>
      <c r="O19" s="8">
        <f t="shared" si="20"/>
        <v>46</v>
      </c>
      <c r="P19" s="8">
        <f t="shared" si="12"/>
        <v>3</v>
      </c>
      <c r="R19" s="46">
        <f t="shared" si="21"/>
        <v>7.0000000000000007E-2</v>
      </c>
      <c r="S19" s="3">
        <f t="shared" si="2"/>
        <v>203.79800024866449</v>
      </c>
      <c r="T19" s="3">
        <f t="shared" si="3"/>
        <v>26.966744960125304</v>
      </c>
      <c r="U19" s="3">
        <f t="shared" si="4"/>
        <v>24.977418388068976</v>
      </c>
      <c r="V19" s="3"/>
      <c r="W19" s="3">
        <f t="shared" si="5"/>
        <v>233.44155102040813</v>
      </c>
      <c r="X19" s="3">
        <f t="shared" si="6"/>
        <v>53.054897959183663</v>
      </c>
      <c r="Y19" s="3">
        <f t="shared" si="7"/>
        <v>21.221959183673466</v>
      </c>
      <c r="Z19" s="3"/>
      <c r="AA19" s="3">
        <f t="shared" si="8"/>
        <v>352.02183673469381</v>
      </c>
      <c r="AB19" s="3">
        <f t="shared" si="9"/>
        <v>117.34061224489794</v>
      </c>
      <c r="AC19" s="3">
        <f t="shared" si="10"/>
        <v>19.556768707482988</v>
      </c>
      <c r="AD19" s="3"/>
      <c r="AE19" s="32">
        <f t="shared" si="13"/>
        <v>2.5000000000000001E-3</v>
      </c>
      <c r="AF19" s="32">
        <f t="shared" si="11"/>
        <v>4.9000000000000007E-3</v>
      </c>
      <c r="AG19" s="32">
        <f t="shared" si="14"/>
        <v>0.92623037837907884</v>
      </c>
      <c r="AH19" s="32">
        <f t="shared" si="14"/>
        <v>0.4</v>
      </c>
      <c r="AI19" s="32">
        <f t="shared" si="14"/>
        <v>0.16666666666666666</v>
      </c>
      <c r="AJ19" s="32">
        <f t="shared" si="14"/>
        <v>0.12238935010153801</v>
      </c>
      <c r="AK19" s="32">
        <f t="shared" si="14"/>
        <v>6</v>
      </c>
      <c r="AL19" s="32">
        <f t="shared" si="14"/>
        <v>2</v>
      </c>
      <c r="AM19" s="32">
        <f t="shared" si="14"/>
        <v>0</v>
      </c>
      <c r="AN19" s="32">
        <f t="shared" si="14"/>
        <v>0.1039876</v>
      </c>
      <c r="AO19" s="32">
        <f t="shared" si="14"/>
        <v>9.5828166666666659E-2</v>
      </c>
      <c r="AP19" s="21">
        <v>15</v>
      </c>
      <c r="AQ19" s="23">
        <v>6.3799999999999996E-2</v>
      </c>
      <c r="AR19" s="23">
        <v>0.128</v>
      </c>
      <c r="AS19" s="23">
        <v>0.69240000000000002</v>
      </c>
      <c r="AT19" s="23">
        <v>1.7613000000000001</v>
      </c>
      <c r="AU19" s="23">
        <v>2.1448</v>
      </c>
    </row>
    <row r="20" spans="1:47" ht="13.5" thickBot="1" x14ac:dyDescent="0.35">
      <c r="B20" s="319" t="s">
        <v>213</v>
      </c>
      <c r="C20" s="320" t="s">
        <v>117</v>
      </c>
      <c r="D20" s="320" t="s">
        <v>139</v>
      </c>
      <c r="E20" s="321" t="s">
        <v>143</v>
      </c>
      <c r="F20" s="320" t="s">
        <v>115</v>
      </c>
      <c r="G20" s="320" t="s">
        <v>118</v>
      </c>
      <c r="H20" s="320" t="s">
        <v>77</v>
      </c>
      <c r="I20" s="322" t="s">
        <v>130</v>
      </c>
      <c r="J20" s="8">
        <f t="shared" si="15"/>
        <v>49</v>
      </c>
      <c r="K20" s="50">
        <f t="shared" si="16"/>
        <v>4.2857142857142858E-2</v>
      </c>
      <c r="L20" s="8">
        <f t="shared" si="17"/>
        <v>19.831956018518522</v>
      </c>
      <c r="M20" s="51">
        <f t="shared" si="18"/>
        <v>4.199125273342591E-2</v>
      </c>
      <c r="N20" s="24">
        <f t="shared" si="19"/>
        <v>333.66391203703705</v>
      </c>
      <c r="O20" s="8">
        <f t="shared" si="20"/>
        <v>49</v>
      </c>
      <c r="P20" s="8">
        <f t="shared" si="12"/>
        <v>3</v>
      </c>
      <c r="R20" s="46">
        <f t="shared" si="21"/>
        <v>7.2500000000000009E-2</v>
      </c>
      <c r="S20" s="3">
        <f t="shared" si="2"/>
        <v>189.98529392978944</v>
      </c>
      <c r="T20" s="3">
        <f t="shared" si="3"/>
        <v>25.139034540711339</v>
      </c>
      <c r="U20" s="3">
        <f t="shared" si="4"/>
        <v>23.284537474727795</v>
      </c>
      <c r="V20" s="3"/>
      <c r="W20" s="3">
        <f t="shared" si="5"/>
        <v>217.61970986920329</v>
      </c>
      <c r="X20" s="3">
        <f t="shared" si="6"/>
        <v>49.459024970273468</v>
      </c>
      <c r="Y20" s="3">
        <f t="shared" si="7"/>
        <v>19.78360998810939</v>
      </c>
      <c r="Z20" s="3"/>
      <c r="AA20" s="3">
        <f t="shared" si="8"/>
        <v>328.16304399524364</v>
      </c>
      <c r="AB20" s="3">
        <f t="shared" si="9"/>
        <v>109.38768133174788</v>
      </c>
      <c r="AC20" s="3">
        <f t="shared" si="10"/>
        <v>18.231280221957981</v>
      </c>
      <c r="AD20" s="3"/>
      <c r="AE20" s="32">
        <f t="shared" si="13"/>
        <v>2.5000000000000001E-3</v>
      </c>
      <c r="AF20" s="32">
        <f t="shared" si="11"/>
        <v>5.2562500000000014E-3</v>
      </c>
      <c r="AG20" s="32">
        <f t="shared" si="14"/>
        <v>0.92623037837907884</v>
      </c>
      <c r="AH20" s="32">
        <f t="shared" si="14"/>
        <v>0.4</v>
      </c>
      <c r="AI20" s="32">
        <f t="shared" si="14"/>
        <v>0.16666666666666666</v>
      </c>
      <c r="AJ20" s="32">
        <f t="shared" si="14"/>
        <v>0.12238935010153801</v>
      </c>
      <c r="AK20" s="32">
        <f t="shared" si="14"/>
        <v>6</v>
      </c>
      <c r="AL20" s="32">
        <f t="shared" si="14"/>
        <v>2</v>
      </c>
      <c r="AM20" s="32">
        <f t="shared" si="14"/>
        <v>0</v>
      </c>
      <c r="AN20" s="32">
        <f t="shared" si="14"/>
        <v>0.1039876</v>
      </c>
      <c r="AO20" s="32">
        <f t="shared" si="14"/>
        <v>9.5828166666666659E-2</v>
      </c>
      <c r="AP20" s="21">
        <v>16</v>
      </c>
      <c r="AQ20" s="23">
        <v>6.3799999999999996E-2</v>
      </c>
      <c r="AR20" s="23">
        <v>0.1278</v>
      </c>
      <c r="AS20" s="23">
        <v>0.69120000000000004</v>
      </c>
      <c r="AT20" s="23">
        <v>1.7531000000000001</v>
      </c>
      <c r="AU20" s="23">
        <v>2.1314000000000002</v>
      </c>
    </row>
    <row r="21" spans="1:47" ht="13.5" thickTop="1" x14ac:dyDescent="0.3">
      <c r="B21" s="146"/>
      <c r="C21" s="147" t="s">
        <v>138</v>
      </c>
      <c r="D21" s="147" t="s">
        <v>140</v>
      </c>
      <c r="E21" s="147" t="s">
        <v>210</v>
      </c>
      <c r="F21" s="430" t="s">
        <v>211</v>
      </c>
      <c r="G21" s="431"/>
      <c r="H21" s="432" t="s">
        <v>212</v>
      </c>
      <c r="I21" s="433"/>
      <c r="J21" s="8">
        <f t="shared" si="15"/>
        <v>52</v>
      </c>
      <c r="K21" s="50">
        <f t="shared" si="16"/>
        <v>4.1602514716892185E-2</v>
      </c>
      <c r="L21" s="8">
        <f t="shared" si="17"/>
        <v>18.707695473251029</v>
      </c>
      <c r="M21" s="51">
        <f t="shared" si="18"/>
        <v>4.3234601527373524E-2</v>
      </c>
      <c r="N21" s="24">
        <f t="shared" si="19"/>
        <v>349.41539094650204</v>
      </c>
      <c r="O21" s="8">
        <f t="shared" si="20"/>
        <v>52</v>
      </c>
      <c r="P21" s="8">
        <f t="shared" si="12"/>
        <v>3</v>
      </c>
      <c r="R21" s="46">
        <f t="shared" si="21"/>
        <v>7.5000000000000011E-2</v>
      </c>
      <c r="S21" s="3">
        <f t="shared" si="2"/>
        <v>177.53070243883656</v>
      </c>
      <c r="T21" s="3">
        <f t="shared" si="3"/>
        <v>23.491031165264705</v>
      </c>
      <c r="U21" s="3">
        <f t="shared" si="4"/>
        <v>21.758106684717859</v>
      </c>
      <c r="V21" s="3"/>
      <c r="W21" s="3">
        <f t="shared" si="5"/>
        <v>203.35352888888883</v>
      </c>
      <c r="X21" s="3">
        <f t="shared" si="6"/>
        <v>46.216711111111096</v>
      </c>
      <c r="Y21" s="3">
        <f t="shared" si="7"/>
        <v>18.486684444444439</v>
      </c>
      <c r="Z21" s="3"/>
      <c r="AA21" s="3">
        <f t="shared" si="8"/>
        <v>306.65013333333326</v>
      </c>
      <c r="AB21" s="3">
        <f t="shared" si="9"/>
        <v>102.21671111111108</v>
      </c>
      <c r="AC21" s="3">
        <f t="shared" si="10"/>
        <v>17.036118518518514</v>
      </c>
      <c r="AD21" s="3"/>
      <c r="AE21" s="32">
        <f t="shared" si="13"/>
        <v>2.5000000000000001E-3</v>
      </c>
      <c r="AF21" s="32">
        <f t="shared" si="11"/>
        <v>5.6250000000000015E-3</v>
      </c>
      <c r="AG21" s="32">
        <f t="shared" ref="AG21:AO27" si="22">AG20</f>
        <v>0.92623037837907884</v>
      </c>
      <c r="AH21" s="32">
        <f t="shared" si="22"/>
        <v>0.4</v>
      </c>
      <c r="AI21" s="32">
        <f t="shared" si="22"/>
        <v>0.16666666666666666</v>
      </c>
      <c r="AJ21" s="32">
        <f t="shared" si="22"/>
        <v>0.12238935010153801</v>
      </c>
      <c r="AK21" s="32">
        <f t="shared" si="22"/>
        <v>6</v>
      </c>
      <c r="AL21" s="32">
        <f t="shared" si="22"/>
        <v>2</v>
      </c>
      <c r="AM21" s="32">
        <f t="shared" si="22"/>
        <v>0</v>
      </c>
      <c r="AN21" s="32">
        <f t="shared" si="22"/>
        <v>0.1039876</v>
      </c>
      <c r="AO21" s="32">
        <f t="shared" si="22"/>
        <v>9.5828166666666659E-2</v>
      </c>
      <c r="AP21" s="21">
        <v>17</v>
      </c>
      <c r="AQ21" s="23">
        <v>6.3700000000000007E-2</v>
      </c>
      <c r="AR21" s="23">
        <v>0.12770000000000001</v>
      </c>
      <c r="AS21" s="23">
        <v>0.69010000000000005</v>
      </c>
      <c r="AT21" s="23">
        <v>1.7459</v>
      </c>
      <c r="AU21" s="23">
        <v>2.1198999999999999</v>
      </c>
    </row>
    <row r="22" spans="1:47" ht="15.75" customHeight="1" thickBot="1" x14ac:dyDescent="0.35">
      <c r="A22" s="940">
        <v>3</v>
      </c>
      <c r="B22" s="434" t="s">
        <v>99</v>
      </c>
      <c r="C22" s="435"/>
      <c r="D22" s="435"/>
      <c r="E22" s="435"/>
      <c r="F22" s="435"/>
      <c r="G22" s="435"/>
      <c r="H22" s="436">
        <f>D9</f>
        <v>0.06</v>
      </c>
      <c r="I22" s="437"/>
      <c r="J22" s="8">
        <f t="shared" si="15"/>
        <v>55</v>
      </c>
      <c r="K22" s="50">
        <f t="shared" si="16"/>
        <v>4.045199174779452E-2</v>
      </c>
      <c r="L22" s="8">
        <f t="shared" si="17"/>
        <v>17.808287037037033</v>
      </c>
      <c r="M22" s="51">
        <f t="shared" si="18"/>
        <v>4.4312936752559789E-2</v>
      </c>
      <c r="N22" s="24">
        <f t="shared" si="19"/>
        <v>365.61657407407404</v>
      </c>
      <c r="O22" s="8">
        <f t="shared" si="20"/>
        <v>55</v>
      </c>
      <c r="P22" s="8">
        <f t="shared" si="12"/>
        <v>3</v>
      </c>
      <c r="R22" s="46">
        <f t="shared" si="21"/>
        <v>7.7500000000000013E-2</v>
      </c>
      <c r="S22" s="3">
        <f t="shared" si="2"/>
        <v>166.26184411545569</v>
      </c>
      <c r="T22" s="3">
        <f t="shared" si="3"/>
        <v>21.99992512875987</v>
      </c>
      <c r="U22" s="3">
        <f t="shared" si="4"/>
        <v>20.37699897632266</v>
      </c>
      <c r="V22" s="3"/>
      <c r="W22" s="3">
        <f t="shared" si="5"/>
        <v>190.44555254942762</v>
      </c>
      <c r="X22" s="3">
        <f t="shared" si="6"/>
        <v>43.283080124869912</v>
      </c>
      <c r="Y22" s="3">
        <f t="shared" si="7"/>
        <v>17.313232049947967</v>
      </c>
      <c r="Z22" s="3"/>
      <c r="AA22" s="3">
        <f t="shared" si="8"/>
        <v>287.18534859521321</v>
      </c>
      <c r="AB22" s="3">
        <f t="shared" si="9"/>
        <v>95.728449531737738</v>
      </c>
      <c r="AC22" s="3">
        <f t="shared" si="10"/>
        <v>15.954741588622955</v>
      </c>
      <c r="AD22" s="3"/>
      <c r="AE22" s="32">
        <f t="shared" si="13"/>
        <v>2.5000000000000001E-3</v>
      </c>
      <c r="AF22" s="32">
        <f t="shared" si="11"/>
        <v>6.006250000000002E-3</v>
      </c>
      <c r="AG22" s="32">
        <f t="shared" si="22"/>
        <v>0.92623037837907884</v>
      </c>
      <c r="AH22" s="32">
        <f t="shared" si="22"/>
        <v>0.4</v>
      </c>
      <c r="AI22" s="32">
        <f t="shared" si="22"/>
        <v>0.16666666666666666</v>
      </c>
      <c r="AJ22" s="32">
        <f t="shared" si="22"/>
        <v>0.12238935010153801</v>
      </c>
      <c r="AK22" s="32">
        <f t="shared" si="22"/>
        <v>6</v>
      </c>
      <c r="AL22" s="32">
        <f t="shared" si="22"/>
        <v>2</v>
      </c>
      <c r="AM22" s="32">
        <f t="shared" si="22"/>
        <v>0</v>
      </c>
      <c r="AN22" s="32">
        <f t="shared" si="22"/>
        <v>0.1039876</v>
      </c>
      <c r="AO22" s="32">
        <f t="shared" si="22"/>
        <v>9.5828166666666659E-2</v>
      </c>
      <c r="AP22" s="21">
        <v>18</v>
      </c>
      <c r="AQ22" s="23">
        <v>6.3600000000000004E-2</v>
      </c>
      <c r="AR22" s="23">
        <v>0.12759999999999999</v>
      </c>
      <c r="AS22" s="23">
        <v>0.68920000000000003</v>
      </c>
      <c r="AT22" s="23">
        <v>1.7396</v>
      </c>
      <c r="AU22" s="23">
        <v>2.1097999999999999</v>
      </c>
    </row>
    <row r="23" spans="1:47" ht="13.5" thickBot="1" x14ac:dyDescent="0.35">
      <c r="B23" s="438" t="s">
        <v>3</v>
      </c>
      <c r="C23" s="158" t="s">
        <v>96</v>
      </c>
      <c r="D23" s="158" t="s">
        <v>60</v>
      </c>
      <c r="E23" s="158"/>
      <c r="F23" s="159" t="s">
        <v>61</v>
      </c>
      <c r="G23" s="158"/>
      <c r="H23" s="158" t="s">
        <v>54</v>
      </c>
      <c r="I23" s="576">
        <f>I15</f>
        <v>6</v>
      </c>
      <c r="J23" s="8">
        <f t="shared" si="15"/>
        <v>58</v>
      </c>
      <c r="K23" s="50">
        <f t="shared" si="16"/>
        <v>3.9391929857916765E-2</v>
      </c>
      <c r="L23" s="8">
        <f t="shared" si="17"/>
        <v>17.072407407407404</v>
      </c>
      <c r="M23" s="51">
        <f t="shared" si="18"/>
        <v>4.5257881767366948E-2</v>
      </c>
      <c r="N23" s="24">
        <f t="shared" si="19"/>
        <v>382.14481481481482</v>
      </c>
      <c r="O23" s="8">
        <f t="shared" si="20"/>
        <v>58</v>
      </c>
      <c r="P23" s="8">
        <f t="shared" si="12"/>
        <v>3</v>
      </c>
      <c r="R23" s="46">
        <f t="shared" si="21"/>
        <v>8.0000000000000016E-2</v>
      </c>
      <c r="S23" s="3">
        <f t="shared" si="2"/>
        <v>156.03284394038369</v>
      </c>
      <c r="T23" s="3">
        <f t="shared" si="3"/>
        <v>20.646414110095929</v>
      </c>
      <c r="U23" s="3">
        <f t="shared" si="4"/>
        <v>19.123335953365306</v>
      </c>
      <c r="V23" s="3"/>
      <c r="W23" s="3">
        <f t="shared" si="5"/>
        <v>178.72868749999986</v>
      </c>
      <c r="X23" s="3">
        <f t="shared" si="6"/>
        <v>40.620156249999972</v>
      </c>
      <c r="Y23" s="3">
        <f t="shared" si="7"/>
        <v>16.248062499999989</v>
      </c>
      <c r="Z23" s="3"/>
      <c r="AA23" s="3">
        <f t="shared" si="8"/>
        <v>269.51671874999988</v>
      </c>
      <c r="AB23" s="3">
        <f t="shared" si="9"/>
        <v>89.838906249999951</v>
      </c>
      <c r="AC23" s="3">
        <f t="shared" si="10"/>
        <v>14.973151041666657</v>
      </c>
      <c r="AD23" s="3"/>
      <c r="AE23" s="32">
        <f t="shared" si="13"/>
        <v>2.5000000000000001E-3</v>
      </c>
      <c r="AF23" s="32">
        <f t="shared" si="11"/>
        <v>6.4000000000000029E-3</v>
      </c>
      <c r="AG23" s="32">
        <f t="shared" si="22"/>
        <v>0.92623037837907884</v>
      </c>
      <c r="AH23" s="32">
        <f t="shared" si="22"/>
        <v>0.4</v>
      </c>
      <c r="AI23" s="32">
        <f t="shared" si="22"/>
        <v>0.16666666666666666</v>
      </c>
      <c r="AJ23" s="32">
        <f t="shared" si="22"/>
        <v>0.12238935010153801</v>
      </c>
      <c r="AK23" s="32">
        <f t="shared" si="22"/>
        <v>6</v>
      </c>
      <c r="AL23" s="32">
        <f t="shared" si="22"/>
        <v>2</v>
      </c>
      <c r="AM23" s="32">
        <f t="shared" si="22"/>
        <v>0</v>
      </c>
      <c r="AN23" s="32">
        <f t="shared" si="22"/>
        <v>0.1039876</v>
      </c>
      <c r="AO23" s="32">
        <f t="shared" si="22"/>
        <v>9.5828166666666659E-2</v>
      </c>
      <c r="AP23" s="21">
        <v>19</v>
      </c>
      <c r="AQ23" s="23">
        <v>6.3600000000000004E-2</v>
      </c>
      <c r="AR23" s="23">
        <v>0.12740000000000001</v>
      </c>
      <c r="AS23" s="23">
        <v>0.68840000000000001</v>
      </c>
      <c r="AT23" s="23">
        <v>1.7341</v>
      </c>
      <c r="AU23" s="23">
        <v>2.1009000000000002</v>
      </c>
    </row>
    <row r="24" spans="1:47" ht="13.5" thickBot="1" x14ac:dyDescent="0.35">
      <c r="B24" s="438" t="s">
        <v>97</v>
      </c>
      <c r="C24" s="105">
        <f>(C25*F24)</f>
        <v>26.618935185185183</v>
      </c>
      <c r="D24" s="106">
        <f>(C3/SQRT(C24))</f>
        <v>5.8146812879234198E-2</v>
      </c>
      <c r="E24" s="162" t="s">
        <v>9</v>
      </c>
      <c r="F24" s="107">
        <f>1/(I23)</f>
        <v>0.16666666666666666</v>
      </c>
      <c r="G24" s="158" t="s">
        <v>62</v>
      </c>
      <c r="H24" s="158"/>
      <c r="I24" s="439"/>
      <c r="J24" s="8">
        <f t="shared" si="15"/>
        <v>61</v>
      </c>
      <c r="K24" s="50">
        <f t="shared" si="16"/>
        <v>3.8411063979868793E-2</v>
      </c>
      <c r="L24" s="8">
        <f t="shared" si="17"/>
        <v>16.45917438271605</v>
      </c>
      <c r="M24" s="51">
        <f t="shared" si="18"/>
        <v>4.6093276775842545E-2</v>
      </c>
      <c r="N24" s="24">
        <f t="shared" si="19"/>
        <v>398.91834876543209</v>
      </c>
      <c r="O24" s="8">
        <f t="shared" si="20"/>
        <v>61</v>
      </c>
      <c r="P24" s="8">
        <f t="shared" si="12"/>
        <v>3</v>
      </c>
      <c r="R24" s="46">
        <f t="shared" si="21"/>
        <v>8.2500000000000018E-2</v>
      </c>
      <c r="S24" s="3">
        <f t="shared" si="2"/>
        <v>146.71958879242689</v>
      </c>
      <c r="T24" s="3">
        <f t="shared" si="3"/>
        <v>19.414075343193968</v>
      </c>
      <c r="U24" s="3">
        <f t="shared" si="4"/>
        <v>17.981906351006494</v>
      </c>
      <c r="V24" s="3"/>
      <c r="W24" s="3">
        <f t="shared" si="5"/>
        <v>168.06076767676763</v>
      </c>
      <c r="X24" s="3">
        <f t="shared" si="6"/>
        <v>38.195629017447182</v>
      </c>
      <c r="Y24" s="3">
        <f t="shared" si="7"/>
        <v>15.278251606978873</v>
      </c>
      <c r="Z24" s="3"/>
      <c r="AA24" s="3">
        <f t="shared" si="8"/>
        <v>253.42986225895302</v>
      </c>
      <c r="AB24" s="3">
        <f t="shared" si="9"/>
        <v>84.476620752984346</v>
      </c>
      <c r="AC24" s="3">
        <f t="shared" si="10"/>
        <v>14.079436792164056</v>
      </c>
      <c r="AD24" s="3"/>
      <c r="AE24" s="32">
        <f t="shared" si="13"/>
        <v>2.5000000000000001E-3</v>
      </c>
      <c r="AF24" s="32">
        <f t="shared" si="11"/>
        <v>6.8062500000000033E-3</v>
      </c>
      <c r="AG24" s="32">
        <f t="shared" si="22"/>
        <v>0.92623037837907884</v>
      </c>
      <c r="AH24" s="32">
        <f t="shared" si="22"/>
        <v>0.4</v>
      </c>
      <c r="AI24" s="32">
        <f t="shared" si="22"/>
        <v>0.16666666666666666</v>
      </c>
      <c r="AJ24" s="32">
        <f t="shared" si="22"/>
        <v>0.12238935010153801</v>
      </c>
      <c r="AK24" s="32">
        <f t="shared" si="22"/>
        <v>6</v>
      </c>
      <c r="AL24" s="32">
        <f t="shared" si="22"/>
        <v>2</v>
      </c>
      <c r="AM24" s="32">
        <f t="shared" si="22"/>
        <v>0</v>
      </c>
      <c r="AN24" s="32">
        <f t="shared" si="22"/>
        <v>0.1039876</v>
      </c>
      <c r="AO24" s="32">
        <f t="shared" si="22"/>
        <v>9.5828166666666659E-2</v>
      </c>
      <c r="AP24" s="21">
        <v>20</v>
      </c>
      <c r="AQ24" s="23">
        <v>6.3500000000000001E-2</v>
      </c>
      <c r="AR24" s="23">
        <v>0.12740000000000001</v>
      </c>
      <c r="AS24" s="23">
        <v>0.68759999999999999</v>
      </c>
      <c r="AT24" s="23">
        <v>1.7291000000000001</v>
      </c>
      <c r="AU24" s="23">
        <v>2.093</v>
      </c>
    </row>
    <row r="25" spans="1:47" ht="14" thickTop="1" thickBot="1" x14ac:dyDescent="0.35">
      <c r="B25" s="438" t="s">
        <v>98</v>
      </c>
      <c r="C25" s="108">
        <f>((C3*C3)+(C5*C5*F24))/(D9*D9*F24)</f>
        <v>159.71361111111111</v>
      </c>
      <c r="D25" s="106">
        <f>(C5/SQRT(C25))</f>
        <v>1.4796896701245317E-2</v>
      </c>
      <c r="E25" s="163" t="s">
        <v>13</v>
      </c>
      <c r="F25" s="159" t="s">
        <v>3</v>
      </c>
      <c r="G25" s="159" t="s">
        <v>3</v>
      </c>
      <c r="H25" s="159" t="s">
        <v>3</v>
      </c>
      <c r="I25" s="439"/>
      <c r="J25" s="10" t="s">
        <v>3</v>
      </c>
      <c r="K25" s="10" t="s">
        <v>3</v>
      </c>
      <c r="L25" s="951" t="s">
        <v>84</v>
      </c>
      <c r="M25" s="325">
        <f>C11*E3+C12*E5</f>
        <v>277.39172256068224</v>
      </c>
      <c r="N25" s="10" t="s">
        <v>3</v>
      </c>
      <c r="O25" s="10" t="s">
        <v>3</v>
      </c>
      <c r="R25" s="46">
        <f t="shared" si="21"/>
        <v>8.500000000000002E-2</v>
      </c>
      <c r="S25" s="3">
        <f t="shared" si="2"/>
        <v>138.21594480532261</v>
      </c>
      <c r="T25" s="3">
        <f t="shared" si="3"/>
        <v>18.288865094064217</v>
      </c>
      <c r="U25" s="3">
        <f t="shared" si="4"/>
        <v>16.939702436199028</v>
      </c>
      <c r="V25" s="3"/>
      <c r="W25" s="3">
        <f t="shared" si="5"/>
        <v>158.3202214532871</v>
      </c>
      <c r="X25" s="3">
        <f t="shared" si="6"/>
        <v>35.981868512110708</v>
      </c>
      <c r="Y25" s="3">
        <f t="shared" si="7"/>
        <v>14.392747404844284</v>
      </c>
      <c r="Z25" s="3"/>
      <c r="AA25" s="3">
        <f t="shared" si="8"/>
        <v>238.74145328719712</v>
      </c>
      <c r="AB25" s="3">
        <f t="shared" si="9"/>
        <v>79.580484429065706</v>
      </c>
      <c r="AC25" s="3">
        <f t="shared" si="10"/>
        <v>13.263414071510951</v>
      </c>
      <c r="AD25" s="3"/>
      <c r="AE25" s="32">
        <f t="shared" si="13"/>
        <v>2.5000000000000001E-3</v>
      </c>
      <c r="AF25" s="32">
        <f t="shared" si="11"/>
        <v>7.2250000000000031E-3</v>
      </c>
      <c r="AG25" s="32">
        <f t="shared" si="22"/>
        <v>0.92623037837907884</v>
      </c>
      <c r="AH25" s="32">
        <f t="shared" si="22"/>
        <v>0.4</v>
      </c>
      <c r="AI25" s="32">
        <f t="shared" si="22"/>
        <v>0.16666666666666666</v>
      </c>
      <c r="AJ25" s="32">
        <f t="shared" si="22"/>
        <v>0.12238935010153801</v>
      </c>
      <c r="AK25" s="32">
        <f t="shared" si="22"/>
        <v>6</v>
      </c>
      <c r="AL25" s="32">
        <f t="shared" si="22"/>
        <v>2</v>
      </c>
      <c r="AM25" s="32">
        <f t="shared" si="22"/>
        <v>0</v>
      </c>
      <c r="AN25" s="32">
        <f t="shared" si="22"/>
        <v>0.1039876</v>
      </c>
      <c r="AO25" s="32">
        <f t="shared" si="22"/>
        <v>9.5828166666666659E-2</v>
      </c>
      <c r="AP25" s="21">
        <v>21</v>
      </c>
      <c r="AQ25" s="23">
        <v>6.3500000000000001E-2</v>
      </c>
      <c r="AR25" s="23">
        <v>0.1273</v>
      </c>
      <c r="AS25" s="23">
        <v>0.68700000000000006</v>
      </c>
      <c r="AT25" s="23">
        <v>1.7246999999999999</v>
      </c>
      <c r="AU25" s="23">
        <v>2.0859999999999999</v>
      </c>
    </row>
    <row r="26" spans="1:47" ht="13.5" thickBot="1" x14ac:dyDescent="0.35">
      <c r="B26" s="438" t="s">
        <v>3</v>
      </c>
      <c r="C26" s="161" t="s">
        <v>3</v>
      </c>
      <c r="D26" s="422">
        <f>SQRT((D24*D24)+(D25*D25))</f>
        <v>6.0000000000000005E-2</v>
      </c>
      <c r="E26" s="164" t="s">
        <v>58</v>
      </c>
      <c r="F26" s="159" t="s">
        <v>3</v>
      </c>
      <c r="G26" s="537"/>
      <c r="H26" s="160" t="s">
        <v>103</v>
      </c>
      <c r="I26" s="440">
        <f>(C27/C24)</f>
        <v>18</v>
      </c>
      <c r="J26" s="10" t="s">
        <v>3</v>
      </c>
      <c r="L26" s="951" t="s">
        <v>85</v>
      </c>
      <c r="M26" s="326">
        <f>D15*E3+D16*E5</f>
        <v>317.73988888888891</v>
      </c>
      <c r="N26" s="538"/>
      <c r="O26" s="538"/>
      <c r="P26" s="538"/>
      <c r="R26" s="46">
        <f t="shared" si="21"/>
        <v>8.7500000000000022E-2</v>
      </c>
      <c r="S26" s="3">
        <f t="shared" si="2"/>
        <v>130.43072015914521</v>
      </c>
      <c r="T26" s="3">
        <f t="shared" si="3"/>
        <v>17.258716774480188</v>
      </c>
      <c r="U26" s="3">
        <f t="shared" si="4"/>
        <v>15.985547768364141</v>
      </c>
      <c r="V26" s="3"/>
      <c r="W26" s="3">
        <f t="shared" si="5"/>
        <v>149.40259265306116</v>
      </c>
      <c r="X26" s="3">
        <f t="shared" si="6"/>
        <v>33.955134693877532</v>
      </c>
      <c r="Y26" s="3">
        <f t="shared" si="7"/>
        <v>13.582053877551013</v>
      </c>
      <c r="Z26" s="3"/>
      <c r="AA26" s="3">
        <f t="shared" si="8"/>
        <v>225.29397551020395</v>
      </c>
      <c r="AB26" s="3">
        <f t="shared" si="9"/>
        <v>75.09799183673465</v>
      </c>
      <c r="AC26" s="3">
        <f t="shared" si="10"/>
        <v>12.516331972789107</v>
      </c>
      <c r="AD26" s="3"/>
      <c r="AE26" s="32">
        <f t="shared" si="13"/>
        <v>2.5000000000000001E-3</v>
      </c>
      <c r="AF26" s="32">
        <f t="shared" si="11"/>
        <v>7.6562500000000042E-3</v>
      </c>
      <c r="AG26" s="32">
        <f t="shared" si="22"/>
        <v>0.92623037837907884</v>
      </c>
      <c r="AH26" s="32">
        <f t="shared" si="22"/>
        <v>0.4</v>
      </c>
      <c r="AI26" s="32">
        <f t="shared" si="22"/>
        <v>0.16666666666666666</v>
      </c>
      <c r="AJ26" s="32">
        <f t="shared" si="22"/>
        <v>0.12238935010153801</v>
      </c>
      <c r="AK26" s="32">
        <f t="shared" si="22"/>
        <v>6</v>
      </c>
      <c r="AL26" s="32">
        <f t="shared" si="22"/>
        <v>2</v>
      </c>
      <c r="AM26" s="32">
        <f t="shared" si="22"/>
        <v>0</v>
      </c>
      <c r="AN26" s="32">
        <f t="shared" si="22"/>
        <v>0.1039876</v>
      </c>
      <c r="AO26" s="32">
        <f t="shared" si="22"/>
        <v>9.5828166666666659E-2</v>
      </c>
      <c r="AP26" s="21">
        <v>22</v>
      </c>
      <c r="AQ26" s="23">
        <v>6.3500000000000001E-2</v>
      </c>
      <c r="AR26" s="23">
        <v>0.12720000000000001</v>
      </c>
      <c r="AS26" s="23">
        <v>0.68640000000000001</v>
      </c>
      <c r="AT26" s="23">
        <v>1.7206999999999999</v>
      </c>
      <c r="AU26" s="23">
        <v>2.0796000000000001</v>
      </c>
    </row>
    <row r="27" spans="1:47" x14ac:dyDescent="0.25">
      <c r="B27" s="952" t="s">
        <v>303</v>
      </c>
      <c r="C27" s="441">
        <f>(C24*E3)+(C25*E5)+H3+H4+H5</f>
        <v>479.14083333333332</v>
      </c>
      <c r="D27" s="442" t="s">
        <v>3</v>
      </c>
      <c r="E27" s="443" t="s">
        <v>63</v>
      </c>
      <c r="F27" s="444">
        <f>(C27/G11)</f>
        <v>1.7273076100117459</v>
      </c>
      <c r="G27" s="442"/>
      <c r="H27" s="445" t="s">
        <v>95</v>
      </c>
      <c r="I27" s="446">
        <f>(G11/C27)</f>
        <v>0.5789356766587741</v>
      </c>
      <c r="J27" s="10" t="s">
        <v>3</v>
      </c>
      <c r="K27" s="10" t="s">
        <v>3</v>
      </c>
      <c r="L27" s="951" t="s">
        <v>86</v>
      </c>
      <c r="M27" s="327">
        <f>(M25/M26)</f>
        <v>0.87301510531365456</v>
      </c>
      <c r="N27" s="538"/>
      <c r="O27" s="538"/>
      <c r="P27" s="538"/>
      <c r="R27" s="46">
        <f>R26+AE27</f>
        <v>9.0000000000000024E-2</v>
      </c>
      <c r="S27" s="3">
        <f t="shared" si="2"/>
        <v>123.28521002696982</v>
      </c>
      <c r="T27" s="3">
        <f t="shared" si="3"/>
        <v>16.313216086989375</v>
      </c>
      <c r="U27" s="3">
        <f t="shared" si="4"/>
        <v>15.109796308831845</v>
      </c>
      <c r="V27" s="3"/>
      <c r="W27" s="3">
        <f t="shared" si="5"/>
        <v>141.21772839506164</v>
      </c>
      <c r="X27" s="3">
        <f t="shared" si="6"/>
        <v>32.094938271604917</v>
      </c>
      <c r="Y27" s="3">
        <f t="shared" si="7"/>
        <v>12.837975308641967</v>
      </c>
      <c r="Z27" s="3"/>
      <c r="AA27" s="3">
        <f t="shared" si="8"/>
        <v>212.95148148148138</v>
      </c>
      <c r="AB27" s="3">
        <f t="shared" si="9"/>
        <v>70.983827160493789</v>
      </c>
      <c r="AC27" s="3">
        <f t="shared" si="10"/>
        <v>11.830637860082298</v>
      </c>
      <c r="AD27" s="3"/>
      <c r="AE27" s="32">
        <f t="shared" si="13"/>
        <v>2.5000000000000001E-3</v>
      </c>
      <c r="AF27" s="32">
        <f t="shared" si="11"/>
        <v>8.1000000000000048E-3</v>
      </c>
      <c r="AG27" s="32">
        <f t="shared" si="22"/>
        <v>0.92623037837907884</v>
      </c>
      <c r="AH27" s="32">
        <f t="shared" si="22"/>
        <v>0.4</v>
      </c>
      <c r="AI27" s="32">
        <f t="shared" si="22"/>
        <v>0.16666666666666666</v>
      </c>
      <c r="AJ27" s="32">
        <f t="shared" si="22"/>
        <v>0.12238935010153801</v>
      </c>
      <c r="AK27" s="32">
        <f t="shared" si="22"/>
        <v>6</v>
      </c>
      <c r="AL27" s="32">
        <f t="shared" si="22"/>
        <v>2</v>
      </c>
      <c r="AM27" s="32">
        <f t="shared" si="22"/>
        <v>0</v>
      </c>
      <c r="AN27" s="32">
        <f t="shared" si="22"/>
        <v>0.1039876</v>
      </c>
      <c r="AO27" s="32">
        <f t="shared" si="22"/>
        <v>9.5828166666666659E-2</v>
      </c>
      <c r="AP27" s="21">
        <v>23</v>
      </c>
      <c r="AQ27" s="23">
        <v>6.3399999999999998E-2</v>
      </c>
      <c r="AR27" s="23">
        <v>0.12709999999999999</v>
      </c>
      <c r="AS27" s="23">
        <v>0.68579999999999997</v>
      </c>
      <c r="AT27" s="23">
        <v>1.7171000000000001</v>
      </c>
      <c r="AU27" s="23">
        <v>2.0739000000000001</v>
      </c>
    </row>
    <row r="28" spans="1:47" ht="13" thickBot="1" x14ac:dyDescent="0.3">
      <c r="B28" s="10" t="s">
        <v>3</v>
      </c>
      <c r="D28" s="11" t="s">
        <v>3</v>
      </c>
      <c r="F28" s="10" t="s">
        <v>3</v>
      </c>
      <c r="H28" s="10" t="s">
        <v>3</v>
      </c>
      <c r="I28" s="10" t="s">
        <v>3</v>
      </c>
      <c r="J28" s="10" t="s">
        <v>3</v>
      </c>
      <c r="K28" s="10" t="s">
        <v>3</v>
      </c>
      <c r="L28" s="951" t="s">
        <v>87</v>
      </c>
      <c r="M28" s="327">
        <f>G11/G92</f>
        <v>0.87301510531365456</v>
      </c>
      <c r="N28" s="538"/>
      <c r="O28" s="538"/>
      <c r="P28" s="538"/>
      <c r="R28" s="3" t="s">
        <v>64</v>
      </c>
      <c r="S28" s="3" t="s">
        <v>64</v>
      </c>
      <c r="T28" s="3" t="s">
        <v>64</v>
      </c>
      <c r="U28" s="3" t="s">
        <v>64</v>
      </c>
      <c r="V28" s="3" t="s">
        <v>64</v>
      </c>
      <c r="W28" s="3" t="s">
        <v>64</v>
      </c>
      <c r="X28" s="3" t="s">
        <v>64</v>
      </c>
      <c r="Y28" s="3" t="s">
        <v>64</v>
      </c>
      <c r="Z28" s="3" t="s">
        <v>64</v>
      </c>
      <c r="AA28" s="3" t="s">
        <v>64</v>
      </c>
      <c r="AB28" s="3" t="s">
        <v>64</v>
      </c>
      <c r="AC28" s="3" t="s">
        <v>64</v>
      </c>
      <c r="AD28" s="3" t="s">
        <v>64</v>
      </c>
      <c r="AE28" s="32" t="s">
        <v>64</v>
      </c>
      <c r="AF28" s="32"/>
      <c r="AG28" s="32"/>
      <c r="AH28" s="32"/>
      <c r="AI28" s="32"/>
      <c r="AJ28" s="32"/>
      <c r="AK28" s="32"/>
      <c r="AL28" s="32"/>
      <c r="AM28" s="32"/>
      <c r="AN28" s="32"/>
      <c r="AO28" s="32"/>
      <c r="AP28" s="21">
        <v>24</v>
      </c>
      <c r="AQ28" s="23">
        <v>6.3399999999999998E-2</v>
      </c>
      <c r="AR28" s="23">
        <v>0.12709999999999999</v>
      </c>
      <c r="AS28" s="23">
        <v>0.68530000000000002</v>
      </c>
      <c r="AT28" s="23">
        <v>1.7139</v>
      </c>
      <c r="AU28" s="23">
        <v>2.0687000000000002</v>
      </c>
    </row>
    <row r="29" spans="1:47" ht="13.5" thickBot="1" x14ac:dyDescent="0.35">
      <c r="A29" s="940">
        <v>4</v>
      </c>
      <c r="B29" s="953" t="s">
        <v>305</v>
      </c>
      <c r="C29" s="954"/>
      <c r="D29" s="954"/>
      <c r="E29" s="954"/>
      <c r="F29" s="955" t="s">
        <v>306</v>
      </c>
      <c r="G29" s="956"/>
      <c r="I29" s="140" t="s">
        <v>307</v>
      </c>
      <c r="J29" s="141"/>
      <c r="K29" s="957" t="s">
        <v>134</v>
      </c>
      <c r="L29" s="951" t="s">
        <v>35</v>
      </c>
      <c r="M29" s="328">
        <f>+F123</f>
        <v>5.098715524521838E-2</v>
      </c>
      <c r="N29" s="538"/>
      <c r="O29" s="538"/>
      <c r="P29" s="538"/>
      <c r="R29" s="28" t="s">
        <v>65</v>
      </c>
      <c r="S29" s="12"/>
      <c r="T29" s="12"/>
      <c r="U29" s="12"/>
      <c r="V29" s="11"/>
      <c r="W29" s="11"/>
      <c r="X29" s="11"/>
      <c r="Y29" s="11"/>
      <c r="Z29" s="11"/>
      <c r="AA29" s="11"/>
      <c r="AB29" s="11"/>
      <c r="AC29" s="11"/>
      <c r="AD29" s="11"/>
      <c r="AE29" s="32"/>
      <c r="AF29" s="32"/>
      <c r="AG29" s="32"/>
      <c r="AH29" s="32"/>
      <c r="AI29" s="32"/>
      <c r="AJ29" s="32"/>
      <c r="AK29" s="32"/>
      <c r="AL29" s="32"/>
      <c r="AM29" s="32"/>
      <c r="AN29" s="32"/>
      <c r="AO29" s="32"/>
      <c r="AP29" s="21">
        <v>25</v>
      </c>
      <c r="AQ29" s="23">
        <v>6.3399999999999998E-2</v>
      </c>
      <c r="AR29" s="23">
        <v>0.127</v>
      </c>
      <c r="AS29" s="23">
        <v>0.68479999999999996</v>
      </c>
      <c r="AT29" s="23">
        <v>1.7109000000000001</v>
      </c>
      <c r="AU29" s="23">
        <v>2.0638999999999998</v>
      </c>
    </row>
    <row r="30" spans="1:47" ht="13.5" thickTop="1" x14ac:dyDescent="0.3">
      <c r="B30" s="119" t="s">
        <v>182</v>
      </c>
      <c r="C30" s="577">
        <v>0.95</v>
      </c>
      <c r="D30" s="58" t="s">
        <v>66</v>
      </c>
      <c r="E30" s="594">
        <f>+D9</f>
        <v>0.06</v>
      </c>
      <c r="F30" s="958" t="s">
        <v>67</v>
      </c>
      <c r="G30" s="145" t="s">
        <v>119</v>
      </c>
      <c r="I30" s="142" t="s">
        <v>174</v>
      </c>
      <c r="J30" s="959">
        <f>E11</f>
        <v>5.1451813976226238E-2</v>
      </c>
      <c r="K30" s="960">
        <f>C11</f>
        <v>33.997041694871669</v>
      </c>
      <c r="L30" s="538"/>
      <c r="M30" s="538"/>
      <c r="N30" s="538"/>
      <c r="O30" s="538"/>
      <c r="P30" s="538"/>
      <c r="R30" s="13" t="str">
        <f t="shared" ref="R30:S45" si="23">R1</f>
        <v>Other SE%</v>
      </c>
      <c r="S30" s="14"/>
      <c r="T30" s="15" t="str">
        <f t="shared" ref="T30:U45" si="24">T1</f>
        <v>Start @</v>
      </c>
      <c r="U30" s="27">
        <v>7</v>
      </c>
      <c r="W30" s="16" t="str">
        <f t="shared" ref="W30:Y45" si="25">W1</f>
        <v>Increment</v>
      </c>
      <c r="X30" s="27">
        <f t="shared" si="25"/>
        <v>2.5000000000000001E-3</v>
      </c>
      <c r="AP30" s="21">
        <v>26</v>
      </c>
      <c r="AQ30" s="23">
        <v>6.3299999999999995E-2</v>
      </c>
      <c r="AR30" s="23">
        <v>0.12690000000000001</v>
      </c>
      <c r="AS30" s="23">
        <v>0.68440000000000001</v>
      </c>
      <c r="AT30" s="23">
        <v>1.7081</v>
      </c>
      <c r="AU30" s="23">
        <v>2.0594999999999999</v>
      </c>
    </row>
    <row r="31" spans="1:47" ht="13.5" thickBot="1" x14ac:dyDescent="0.35">
      <c r="B31" s="119" t="s">
        <v>68</v>
      </c>
      <c r="C31" s="578">
        <v>123</v>
      </c>
      <c r="D31" s="58" t="s">
        <v>105</v>
      </c>
      <c r="E31" s="106">
        <f>IF(E30&gt;0,(E30*C32),"")</f>
        <v>0.11877599270919841</v>
      </c>
      <c r="F31" s="961">
        <v>0.05</v>
      </c>
      <c r="G31" s="138">
        <f>IF(E30&gt;0,TINV(0.95,$C$31-1)*E30,"")</f>
        <v>3.77015482710734E-3</v>
      </c>
      <c r="I31" s="142" t="s">
        <v>175</v>
      </c>
      <c r="J31" s="959">
        <f>E12</f>
        <v>3.0866014296565887E-2</v>
      </c>
      <c r="K31" s="962">
        <f>C12</f>
        <v>36.704736195726113</v>
      </c>
      <c r="L31" s="538"/>
      <c r="M31" s="538"/>
      <c r="N31" s="538"/>
      <c r="O31" s="538"/>
      <c r="P31" s="538"/>
      <c r="R31" s="17" t="str">
        <f t="shared" si="23"/>
        <v>Options</v>
      </c>
      <c r="S31" s="18"/>
      <c r="T31" s="9" t="str">
        <f t="shared" si="24"/>
        <v>Optimal</v>
      </c>
      <c r="U31" s="12"/>
      <c r="V31" s="19" t="str">
        <f>V2</f>
        <v xml:space="preserve"> </v>
      </c>
      <c r="W31" s="454" t="str">
        <f t="shared" si="25"/>
        <v xml:space="preserve"> </v>
      </c>
      <c r="X31" s="453" t="str">
        <f t="shared" si="25"/>
        <v>Other Options</v>
      </c>
      <c r="Y31" s="167"/>
      <c r="Z31" s="11"/>
      <c r="AB31" s="9" t="str">
        <f>AB2</f>
        <v>Full Measure</v>
      </c>
      <c r="AC31" s="11"/>
      <c r="AP31" s="21">
        <v>27</v>
      </c>
      <c r="AQ31" s="23">
        <v>6.3299999999999995E-2</v>
      </c>
      <c r="AR31" s="23">
        <v>0.12690000000000001</v>
      </c>
      <c r="AS31" s="23">
        <v>0.68400000000000005</v>
      </c>
      <c r="AT31" s="23">
        <v>1.7056</v>
      </c>
      <c r="AU31" s="23">
        <v>2.0554999999999999</v>
      </c>
    </row>
    <row r="32" spans="1:47" ht="13.5" thickBot="1" x14ac:dyDescent="0.35">
      <c r="B32" s="119" t="s">
        <v>101</v>
      </c>
      <c r="C32" s="963">
        <f>TINV(1-C30,C31-1)</f>
        <v>1.9795998784866402</v>
      </c>
      <c r="D32" s="4"/>
      <c r="E32" s="4"/>
      <c r="F32" s="961">
        <v>0.5</v>
      </c>
      <c r="G32" s="138">
        <f>IF(E30&gt;0,TINV(0.5,$C$31-1)*E30,"")</f>
        <v>4.0590361791624834E-2</v>
      </c>
      <c r="I32" s="142" t="s">
        <v>176</v>
      </c>
      <c r="J32" s="964">
        <f>D9</f>
        <v>0.06</v>
      </c>
      <c r="L32" s="538"/>
      <c r="M32" s="538"/>
      <c r="N32" s="538"/>
      <c r="O32" s="538"/>
      <c r="P32" s="538"/>
      <c r="R32" s="15" t="str">
        <f t="shared" si="23"/>
        <v>SE%</v>
      </c>
      <c r="S32" s="9" t="str">
        <f t="shared" si="23"/>
        <v>COST</v>
      </c>
      <c r="T32" s="9" t="str">
        <f t="shared" si="24"/>
        <v>n*BAR</v>
      </c>
      <c r="U32" s="9" t="str">
        <f t="shared" si="24"/>
        <v>nTC</v>
      </c>
      <c r="V32" s="11"/>
      <c r="W32" s="9" t="str">
        <f t="shared" si="25"/>
        <v>COST</v>
      </c>
      <c r="X32" s="9" t="str">
        <f t="shared" si="25"/>
        <v>n*BAR</v>
      </c>
      <c r="Y32" s="9" t="str">
        <f t="shared" si="25"/>
        <v>nTC</v>
      </c>
      <c r="Z32" s="11"/>
      <c r="AA32" s="9" t="str">
        <f t="shared" ref="AA32:AC47" si="26">AA3</f>
        <v>COST</v>
      </c>
      <c r="AB32" s="9" t="str">
        <f>AB3</f>
        <v>n*BAR</v>
      </c>
      <c r="AC32" s="9" t="str">
        <f>AC3</f>
        <v>nTC</v>
      </c>
      <c r="AP32" s="21">
        <v>28</v>
      </c>
      <c r="AQ32" s="23">
        <v>6.3299999999999995E-2</v>
      </c>
      <c r="AR32" s="23">
        <v>0.1268</v>
      </c>
      <c r="AS32" s="23">
        <v>0.68369999999999997</v>
      </c>
      <c r="AT32" s="23">
        <v>1.7033</v>
      </c>
      <c r="AU32" s="23">
        <v>2.0518000000000001</v>
      </c>
    </row>
    <row r="33" spans="1:47" ht="13.5" thickBot="1" x14ac:dyDescent="0.35">
      <c r="B33" s="59"/>
      <c r="C33" s="60" t="s">
        <v>3</v>
      </c>
      <c r="D33" s="965" t="s">
        <v>129</v>
      </c>
      <c r="E33" s="966"/>
      <c r="F33" s="967">
        <v>0.95</v>
      </c>
      <c r="G33" s="139">
        <f>IF(E30&gt;0,TINV(0.05,$C$31-1)*E30,"")</f>
        <v>0.11877599270919841</v>
      </c>
      <c r="I33" s="143"/>
      <c r="J33" s="144"/>
      <c r="L33" s="538"/>
      <c r="M33" s="538"/>
      <c r="N33" s="538"/>
      <c r="O33" s="538"/>
      <c r="P33" s="538"/>
      <c r="R33" s="26">
        <f t="shared" si="23"/>
        <v>3.2499999999999973E-2</v>
      </c>
      <c r="S33" s="11">
        <f t="shared" si="23"/>
        <v>945.42977630149858</v>
      </c>
      <c r="T33" s="11">
        <f t="shared" si="24"/>
        <v>125.10016596886555</v>
      </c>
      <c r="U33" s="11">
        <f t="shared" si="24"/>
        <v>115.87157406062791</v>
      </c>
      <c r="V33" s="11"/>
      <c r="W33" s="11">
        <f t="shared" si="25"/>
        <v>1082.9477869822504</v>
      </c>
      <c r="X33" s="11">
        <f t="shared" si="25"/>
        <v>246.12449704142054</v>
      </c>
      <c r="Y33" s="11">
        <f t="shared" si="25"/>
        <v>98.449798816568219</v>
      </c>
      <c r="Z33" s="11"/>
      <c r="AA33" s="11">
        <f t="shared" si="26"/>
        <v>1633.0480473372809</v>
      </c>
      <c r="AB33" s="11">
        <f>AB4</f>
        <v>544.34934911242692</v>
      </c>
      <c r="AC33" s="11">
        <f>AC4</f>
        <v>90.72489151873782</v>
      </c>
      <c r="AP33" s="21">
        <v>29</v>
      </c>
      <c r="AQ33" s="23">
        <v>6.3299999999999995E-2</v>
      </c>
      <c r="AR33" s="23">
        <v>0.1268</v>
      </c>
      <c r="AS33" s="23">
        <v>0.68340000000000001</v>
      </c>
      <c r="AT33" s="23">
        <v>1.7011000000000001</v>
      </c>
      <c r="AU33" s="23">
        <v>2.0484</v>
      </c>
    </row>
    <row r="34" spans="1:47" ht="13.5" thickBot="1" x14ac:dyDescent="0.35">
      <c r="L34" s="538"/>
      <c r="M34" s="538"/>
      <c r="N34" s="538"/>
      <c r="O34" s="538"/>
      <c r="P34" s="538"/>
      <c r="R34" s="26">
        <f t="shared" si="23"/>
        <v>3.4999999999999976E-2</v>
      </c>
      <c r="S34" s="11">
        <f t="shared" si="23"/>
        <v>815.19200099465911</v>
      </c>
      <c r="T34" s="11">
        <f t="shared" si="24"/>
        <v>107.86697984050137</v>
      </c>
      <c r="U34" s="11">
        <f t="shared" si="24"/>
        <v>99.909673552276061</v>
      </c>
      <c r="V34" s="11"/>
      <c r="W34" s="11">
        <f t="shared" si="25"/>
        <v>933.76620408163399</v>
      </c>
      <c r="X34" s="11">
        <f t="shared" si="25"/>
        <v>212.21959183673499</v>
      </c>
      <c r="Y34" s="11">
        <f t="shared" si="25"/>
        <v>84.887836734694005</v>
      </c>
      <c r="Z34" s="11"/>
      <c r="AA34" s="11">
        <f t="shared" si="26"/>
        <v>1408.0873469387775</v>
      </c>
      <c r="AB34" s="11">
        <f t="shared" si="26"/>
        <v>469.3624489795925</v>
      </c>
      <c r="AC34" s="11">
        <f t="shared" si="26"/>
        <v>78.227074829932079</v>
      </c>
      <c r="AP34" s="21">
        <v>30</v>
      </c>
      <c r="AQ34" s="23">
        <v>6.3299999999999995E-2</v>
      </c>
      <c r="AR34" s="23">
        <v>0.1268</v>
      </c>
      <c r="AS34" s="23">
        <v>0.68300000000000005</v>
      </c>
      <c r="AT34" s="23">
        <v>1.6991000000000001</v>
      </c>
      <c r="AU34" s="23">
        <v>2.0451999999999999</v>
      </c>
    </row>
    <row r="35" spans="1:47" ht="13.5" thickBot="1" x14ac:dyDescent="0.35">
      <c r="A35" s="940" t="s">
        <v>245</v>
      </c>
      <c r="B35" s="79"/>
      <c r="C35" s="80"/>
      <c r="D35" s="80"/>
      <c r="E35" s="81" t="s">
        <v>308</v>
      </c>
      <c r="F35" s="80"/>
      <c r="G35" s="80"/>
      <c r="H35" s="80"/>
      <c r="I35" s="80"/>
      <c r="J35" s="82"/>
      <c r="L35" s="538"/>
      <c r="M35" s="538"/>
      <c r="N35" s="538"/>
      <c r="O35" s="538"/>
      <c r="P35" s="538"/>
      <c r="R35" s="26">
        <f t="shared" si="23"/>
        <v>3.7499999999999978E-2</v>
      </c>
      <c r="S35" s="11">
        <f t="shared" si="23"/>
        <v>710.12280975534736</v>
      </c>
      <c r="T35" s="11">
        <f t="shared" si="24"/>
        <v>93.964124661058946</v>
      </c>
      <c r="U35" s="11">
        <f t="shared" si="24"/>
        <v>87.032426738871564</v>
      </c>
      <c r="V35" s="11"/>
      <c r="W35" s="11">
        <f t="shared" si="25"/>
        <v>813.41411555555646</v>
      </c>
      <c r="X35" s="11">
        <f t="shared" si="25"/>
        <v>184.86684444444464</v>
      </c>
      <c r="Y35" s="11">
        <f t="shared" si="25"/>
        <v>73.946737777777855</v>
      </c>
      <c r="Z35" s="11"/>
      <c r="AA35" s="11">
        <f t="shared" si="26"/>
        <v>1226.6005333333346</v>
      </c>
      <c r="AB35" s="11">
        <f t="shared" si="26"/>
        <v>408.86684444444489</v>
      </c>
      <c r="AC35" s="11">
        <f t="shared" si="26"/>
        <v>68.144474074074139</v>
      </c>
      <c r="AP35" s="21">
        <v>31</v>
      </c>
      <c r="AQ35" s="23">
        <v>6.3200000000000006E-2</v>
      </c>
      <c r="AR35" s="23">
        <v>0.12670000000000001</v>
      </c>
      <c r="AS35" s="23">
        <v>0.68279999999999996</v>
      </c>
      <c r="AT35" s="23">
        <v>1.6973</v>
      </c>
      <c r="AU35" s="23">
        <v>2.0423</v>
      </c>
    </row>
    <row r="36" spans="1:47" ht="14" thickTop="1" thickBot="1" x14ac:dyDescent="0.35">
      <c r="B36" s="72"/>
      <c r="C36" s="38"/>
      <c r="D36" s="38"/>
      <c r="E36" s="38"/>
      <c r="F36" s="84" t="s">
        <v>166</v>
      </c>
      <c r="G36" s="38"/>
      <c r="H36" s="968" t="s">
        <v>127</v>
      </c>
      <c r="I36" s="969">
        <f>J36</f>
        <v>200</v>
      </c>
      <c r="J36" s="970">
        <v>200</v>
      </c>
      <c r="K36" s="10" t="s">
        <v>3</v>
      </c>
      <c r="L36" s="538"/>
      <c r="M36" s="538"/>
      <c r="N36" s="538"/>
      <c r="O36" s="538"/>
      <c r="P36" s="538"/>
      <c r="R36" s="26">
        <f t="shared" si="23"/>
        <v>3.999999999999998E-2</v>
      </c>
      <c r="S36" s="11">
        <f t="shared" si="23"/>
        <v>624.13137576153576</v>
      </c>
      <c r="T36" s="11">
        <f t="shared" si="24"/>
        <v>82.585656440383843</v>
      </c>
      <c r="U36" s="11">
        <f t="shared" si="24"/>
        <v>76.493343813461337</v>
      </c>
      <c r="V36" s="11"/>
      <c r="W36" s="11">
        <f t="shared" si="25"/>
        <v>714.91475000000059</v>
      </c>
      <c r="X36" s="11">
        <f t="shared" si="25"/>
        <v>162.48062500000015</v>
      </c>
      <c r="Y36" s="11">
        <f t="shared" si="25"/>
        <v>64.992250000000055</v>
      </c>
      <c r="Z36" s="11"/>
      <c r="AA36" s="11">
        <f t="shared" si="26"/>
        <v>1078.0668750000011</v>
      </c>
      <c r="AB36" s="11">
        <f t="shared" si="26"/>
        <v>359.35562500000037</v>
      </c>
      <c r="AC36" s="11">
        <f t="shared" si="26"/>
        <v>59.892604166666729</v>
      </c>
      <c r="AP36" s="21">
        <v>41</v>
      </c>
      <c r="AQ36" s="23">
        <v>6.2899999999999998E-2</v>
      </c>
      <c r="AR36" s="23">
        <v>0.12620000000000001</v>
      </c>
      <c r="AS36" s="23">
        <v>0.6804</v>
      </c>
      <c r="AT36" s="23">
        <v>1.6841999999999999</v>
      </c>
      <c r="AU36" s="23">
        <v>2.0215000000000001</v>
      </c>
    </row>
    <row r="37" spans="1:47" ht="13.5" thickBot="1" x14ac:dyDescent="0.35">
      <c r="B37" s="83" t="s">
        <v>309</v>
      </c>
      <c r="C37" s="45"/>
      <c r="D37" s="45"/>
      <c r="E37" s="45"/>
      <c r="F37" s="53" t="s">
        <v>114</v>
      </c>
      <c r="G37" s="53"/>
      <c r="H37" s="971" t="s">
        <v>160</v>
      </c>
      <c r="I37" s="972">
        <v>8.5</v>
      </c>
      <c r="J37" s="973">
        <f>IF(J36="","",((2*J38)/SQRT((43560/J36)-1))*12 )</f>
        <v>3.2599549495449676</v>
      </c>
      <c r="L37" s="538"/>
      <c r="M37" s="538"/>
      <c r="N37" s="538"/>
      <c r="O37" s="538"/>
      <c r="P37" s="538"/>
      <c r="R37" s="26">
        <f t="shared" si="23"/>
        <v>4.2499999999999982E-2</v>
      </c>
      <c r="S37" s="11">
        <f t="shared" si="23"/>
        <v>552.863779221291</v>
      </c>
      <c r="T37" s="11">
        <f t="shared" si="24"/>
        <v>73.155460376256954</v>
      </c>
      <c r="U37" s="11">
        <f t="shared" si="24"/>
        <v>67.758809744796181</v>
      </c>
      <c r="V37" s="11"/>
      <c r="W37" s="11">
        <f t="shared" si="25"/>
        <v>633.28088581314933</v>
      </c>
      <c r="X37" s="11">
        <f t="shared" si="25"/>
        <v>143.92747404844303</v>
      </c>
      <c r="Y37" s="11">
        <f t="shared" si="25"/>
        <v>57.570989619377215</v>
      </c>
      <c r="Z37" s="11"/>
      <c r="AA37" s="11">
        <f t="shared" si="26"/>
        <v>954.96581314878983</v>
      </c>
      <c r="AB37" s="11">
        <f t="shared" si="26"/>
        <v>318.32193771626328</v>
      </c>
      <c r="AC37" s="11">
        <f t="shared" si="26"/>
        <v>53.053656286043875</v>
      </c>
      <c r="AP37" s="21">
        <v>61</v>
      </c>
      <c r="AQ37" s="23">
        <v>6.2799999999999995E-2</v>
      </c>
      <c r="AR37" s="23">
        <v>0.12590000000000001</v>
      </c>
      <c r="AS37" s="23">
        <v>0.67830000000000001</v>
      </c>
      <c r="AT37" s="23">
        <v>1.671</v>
      </c>
      <c r="AU37" s="23">
        <v>2.0007999999999999</v>
      </c>
    </row>
    <row r="38" spans="1:47" ht="13.5" thickBot="1" x14ac:dyDescent="0.35">
      <c r="B38" s="73"/>
      <c r="C38" s="52" t="s">
        <v>310</v>
      </c>
      <c r="D38" s="974">
        <v>8.5</v>
      </c>
      <c r="E38" s="45" t="s">
        <v>108</v>
      </c>
      <c r="F38" s="90">
        <f>43560/((D39*2/(D38/12))^2+D40)</f>
        <v>151.24818281210577</v>
      </c>
      <c r="G38" s="45" t="s">
        <v>69</v>
      </c>
      <c r="H38" s="975" t="s">
        <v>219</v>
      </c>
      <c r="I38" s="92">
        <f>IF(I36&gt;0,(SQRT((43560/I36)-1)*(I37))/2/12,"")</f>
        <v>5.2147959904700221</v>
      </c>
      <c r="J38" s="976">
        <v>2</v>
      </c>
      <c r="K38" s="11"/>
      <c r="L38" s="538"/>
      <c r="R38" s="26">
        <f t="shared" si="23"/>
        <v>4.4999999999999984E-2</v>
      </c>
      <c r="S38" s="11">
        <f t="shared" si="23"/>
        <v>493.14084010787997</v>
      </c>
      <c r="T38" s="11">
        <f t="shared" si="24"/>
        <v>65.252864347957583</v>
      </c>
      <c r="U38" s="11">
        <f t="shared" si="24"/>
        <v>60.439185235327457</v>
      </c>
      <c r="V38" s="11"/>
      <c r="W38" s="11">
        <f t="shared" si="25"/>
        <v>564.87091358024736</v>
      </c>
      <c r="X38" s="11">
        <f t="shared" si="25"/>
        <v>128.37975308641984</v>
      </c>
      <c r="Y38" s="11">
        <f t="shared" si="25"/>
        <v>51.35190123456794</v>
      </c>
      <c r="Z38" s="11"/>
      <c r="AA38" s="11">
        <f t="shared" si="26"/>
        <v>851.80592592592643</v>
      </c>
      <c r="AB38" s="11">
        <f t="shared" si="26"/>
        <v>283.9353086419755</v>
      </c>
      <c r="AC38" s="11">
        <f t="shared" si="26"/>
        <v>47.322551440329249</v>
      </c>
      <c r="AP38" s="21">
        <v>121</v>
      </c>
      <c r="AQ38" s="23">
        <v>6.2700000000000006E-2</v>
      </c>
      <c r="AR38" s="23">
        <v>0.12559999999999999</v>
      </c>
      <c r="AS38" s="23">
        <v>0.67620000000000002</v>
      </c>
      <c r="AT38" s="23">
        <v>1.6579999999999999</v>
      </c>
      <c r="AU38" s="23">
        <v>1.9803999999999999</v>
      </c>
    </row>
    <row r="39" spans="1:47" ht="13" x14ac:dyDescent="0.3">
      <c r="B39" s="73"/>
      <c r="C39" s="52" t="s">
        <v>311</v>
      </c>
      <c r="D39" s="974">
        <v>6</v>
      </c>
      <c r="E39" s="45" t="s">
        <v>73</v>
      </c>
      <c r="F39" s="45" t="s">
        <v>3</v>
      </c>
      <c r="G39" s="45" t="s">
        <v>3</v>
      </c>
      <c r="H39" s="45" t="s">
        <v>3</v>
      </c>
      <c r="I39" s="45"/>
      <c r="J39" s="977"/>
      <c r="K39" s="11" t="s">
        <v>3</v>
      </c>
      <c r="L39" s="538"/>
      <c r="R39" s="26">
        <f t="shared" si="23"/>
        <v>4.7499999999999987E-2</v>
      </c>
      <c r="S39" s="11">
        <f t="shared" si="23"/>
        <v>442.59731909959294</v>
      </c>
      <c r="T39" s="11">
        <f t="shared" si="24"/>
        <v>58.564897641934216</v>
      </c>
      <c r="U39" s="11">
        <f t="shared" si="24"/>
        <v>54.244587302620751</v>
      </c>
      <c r="V39" s="11"/>
      <c r="W39" s="11">
        <f t="shared" si="25"/>
        <v>506.97555678670386</v>
      </c>
      <c r="X39" s="11">
        <f t="shared" si="25"/>
        <v>115.2217174515236</v>
      </c>
      <c r="Y39" s="11">
        <f t="shared" si="25"/>
        <v>46.088686980609445</v>
      </c>
      <c r="Z39" s="11"/>
      <c r="AA39" s="11">
        <f t="shared" si="26"/>
        <v>764.50171745152386</v>
      </c>
      <c r="AB39" s="11">
        <f t="shared" si="26"/>
        <v>254.83390581717464</v>
      </c>
      <c r="AC39" s="11">
        <f t="shared" si="26"/>
        <v>42.472317636195768</v>
      </c>
      <c r="AP39" s="21" t="s">
        <v>71</v>
      </c>
      <c r="AQ39" s="23">
        <v>6.2700000000000006E-2</v>
      </c>
      <c r="AR39" s="23">
        <v>0.12570000000000001</v>
      </c>
      <c r="AS39" s="23">
        <v>0.67449999999999999</v>
      </c>
      <c r="AT39" s="23">
        <v>1.6449</v>
      </c>
      <c r="AU39" s="23">
        <v>1.96</v>
      </c>
    </row>
    <row r="40" spans="1:47" ht="13" x14ac:dyDescent="0.3">
      <c r="B40" s="74"/>
      <c r="C40" s="52" t="s">
        <v>145</v>
      </c>
      <c r="D40" s="938">
        <v>1</v>
      </c>
      <c r="E40" s="45"/>
      <c r="F40" s="45"/>
      <c r="G40" s="45"/>
      <c r="H40" s="45"/>
      <c r="I40" s="45"/>
      <c r="J40" s="75"/>
      <c r="K40" s="461" t="s">
        <v>150</v>
      </c>
      <c r="L40" s="447"/>
      <c r="M40" s="447"/>
      <c r="N40" s="978"/>
      <c r="R40" s="26">
        <f t="shared" si="23"/>
        <v>4.9999999999999989E-2</v>
      </c>
      <c r="S40" s="11">
        <f t="shared" si="23"/>
        <v>399.44408048738262</v>
      </c>
      <c r="T40" s="11">
        <f t="shared" si="24"/>
        <v>52.854820121845634</v>
      </c>
      <c r="U40" s="11">
        <f t="shared" si="24"/>
        <v>48.955740040615233</v>
      </c>
      <c r="V40" s="11"/>
      <c r="W40" s="11">
        <f t="shared" si="25"/>
        <v>457.54544000000021</v>
      </c>
      <c r="X40" s="11">
        <f t="shared" si="25"/>
        <v>103.98760000000004</v>
      </c>
      <c r="Y40" s="11">
        <f t="shared" si="25"/>
        <v>41.595040000000019</v>
      </c>
      <c r="Z40" s="11"/>
      <c r="AA40" s="11">
        <f t="shared" si="26"/>
        <v>689.96280000000036</v>
      </c>
      <c r="AB40" s="11">
        <f t="shared" si="26"/>
        <v>229.98760000000013</v>
      </c>
      <c r="AC40" s="11">
        <f t="shared" si="26"/>
        <v>38.331266666666686</v>
      </c>
      <c r="AP40" s="21"/>
      <c r="AQ40" s="23"/>
      <c r="AR40" s="23"/>
      <c r="AS40" s="23"/>
      <c r="AT40" s="23"/>
      <c r="AU40" s="23"/>
    </row>
    <row r="41" spans="1:47" ht="13" x14ac:dyDescent="0.3">
      <c r="B41" s="74" t="s">
        <v>155</v>
      </c>
      <c r="C41" s="45"/>
      <c r="D41" s="45"/>
      <c r="E41" s="45"/>
      <c r="F41" s="45"/>
      <c r="G41" s="52" t="s">
        <v>312</v>
      </c>
      <c r="H41" s="979">
        <f>SQRT((D$39*12*2/D$38)^2+D$40)/12/2</f>
        <v>0.70711102897980782</v>
      </c>
      <c r="I41" s="45" t="s">
        <v>153</v>
      </c>
      <c r="J41" s="75"/>
      <c r="K41" s="980" t="s">
        <v>313</v>
      </c>
      <c r="L41" s="945"/>
      <c r="M41" s="945"/>
      <c r="N41" s="981"/>
      <c r="R41" s="26">
        <f t="shared" si="23"/>
        <v>5.2499999999999991E-2</v>
      </c>
      <c r="S41" s="11">
        <f t="shared" si="23"/>
        <v>362.30755599762585</v>
      </c>
      <c r="T41" s="11">
        <f t="shared" si="24"/>
        <v>47.940879929111667</v>
      </c>
      <c r="U41" s="11">
        <f t="shared" si="24"/>
        <v>44.404299356567087</v>
      </c>
      <c r="V41" s="11"/>
      <c r="W41" s="11">
        <f t="shared" si="25"/>
        <v>415.00720181405904</v>
      </c>
      <c r="X41" s="11">
        <f t="shared" si="25"/>
        <v>94.319818594104333</v>
      </c>
      <c r="Y41" s="11">
        <f t="shared" si="25"/>
        <v>37.727927437641732</v>
      </c>
      <c r="Z41" s="11"/>
      <c r="AA41" s="11">
        <f t="shared" si="26"/>
        <v>625.81659863945595</v>
      </c>
      <c r="AB41" s="11">
        <f t="shared" si="26"/>
        <v>208.60553287981867</v>
      </c>
      <c r="AC41" s="11">
        <f t="shared" si="26"/>
        <v>34.767588813303107</v>
      </c>
    </row>
    <row r="42" spans="1:47" ht="13.5" thickBot="1" x14ac:dyDescent="0.35">
      <c r="B42" s="61" t="s">
        <v>3</v>
      </c>
      <c r="C42" s="45"/>
      <c r="D42" s="45"/>
      <c r="E42" s="45"/>
      <c r="F42" s="45"/>
      <c r="G42" s="52" t="s">
        <v>314</v>
      </c>
      <c r="H42" s="982">
        <f>H41-(1/24)</f>
        <v>0.66544436231314119</v>
      </c>
      <c r="I42" s="45" t="s">
        <v>153</v>
      </c>
      <c r="J42" s="75"/>
      <c r="K42" s="983" t="s">
        <v>230</v>
      </c>
      <c r="L42" s="984"/>
      <c r="M42" s="984"/>
      <c r="N42" s="985"/>
      <c r="R42" s="26">
        <f t="shared" si="23"/>
        <v>5.4999999999999993E-2</v>
      </c>
      <c r="S42" s="11">
        <f t="shared" si="23"/>
        <v>330.11907478296075</v>
      </c>
      <c r="T42" s="11">
        <f t="shared" si="24"/>
        <v>43.681669522186461</v>
      </c>
      <c r="U42" s="11">
        <f t="shared" si="24"/>
        <v>40.459289289764641</v>
      </c>
      <c r="V42" s="11"/>
      <c r="W42" s="11">
        <f t="shared" si="25"/>
        <v>378.13672727272728</v>
      </c>
      <c r="X42" s="11">
        <f t="shared" si="25"/>
        <v>85.9401652892562</v>
      </c>
      <c r="Y42" s="11">
        <f t="shared" si="25"/>
        <v>34.376066115702478</v>
      </c>
      <c r="Z42" s="11"/>
      <c r="AA42" s="11">
        <f t="shared" si="26"/>
        <v>570.21719008264472</v>
      </c>
      <c r="AB42" s="11">
        <f t="shared" si="26"/>
        <v>190.07239669421492</v>
      </c>
      <c r="AC42" s="11">
        <f t="shared" si="26"/>
        <v>31.678732782369153</v>
      </c>
    </row>
    <row r="43" spans="1:47" ht="13" x14ac:dyDescent="0.3">
      <c r="B43" s="612" t="s">
        <v>123</v>
      </c>
      <c r="C43" s="986">
        <f>H41</f>
        <v>0.70711102897980782</v>
      </c>
      <c r="D43" s="987" t="s">
        <v>125</v>
      </c>
      <c r="E43" s="988" t="s">
        <v>124</v>
      </c>
      <c r="F43" s="53"/>
      <c r="G43" s="989" t="s">
        <v>315</v>
      </c>
      <c r="H43" s="990">
        <v>24</v>
      </c>
      <c r="I43" s="991" t="s">
        <v>72</v>
      </c>
      <c r="J43" s="75"/>
      <c r="O43"/>
      <c r="R43" s="26">
        <f t="shared" si="23"/>
        <v>5.7499999999999996E-2</v>
      </c>
      <c r="S43" s="11">
        <f t="shared" si="23"/>
        <v>302.03711189972216</v>
      </c>
      <c r="T43" s="11">
        <f t="shared" si="24"/>
        <v>39.965837521244325</v>
      </c>
      <c r="U43" s="11">
        <f t="shared" si="24"/>
        <v>37.017572809538919</v>
      </c>
      <c r="V43" s="11"/>
      <c r="W43" s="11">
        <f t="shared" si="25"/>
        <v>345.97008695652181</v>
      </c>
      <c r="X43" s="11">
        <f t="shared" si="25"/>
        <v>78.629565217391317</v>
      </c>
      <c r="Y43" s="11">
        <f t="shared" si="25"/>
        <v>31.45182608695653</v>
      </c>
      <c r="Z43" s="11"/>
      <c r="AA43" s="11">
        <f t="shared" si="26"/>
        <v>521.71100189035928</v>
      </c>
      <c r="AB43" s="11">
        <f t="shared" si="26"/>
        <v>173.90366729678644</v>
      </c>
      <c r="AC43" s="11">
        <f t="shared" si="26"/>
        <v>28.983944549464404</v>
      </c>
    </row>
    <row r="44" spans="1:47" ht="13.5" thickBot="1" x14ac:dyDescent="0.35">
      <c r="B44" s="626" t="s">
        <v>3</v>
      </c>
      <c r="C44" s="992" t="s">
        <v>316</v>
      </c>
      <c r="D44" s="993">
        <f>IF(C43="","",(43560/(C43*2*12)^2))</f>
        <v>151.2481828121058</v>
      </c>
      <c r="E44" s="994">
        <f>IF(C43="","",(43560/ ( (C43+1/24)*2*12)^2))</f>
        <v>134.88373679642427</v>
      </c>
      <c r="F44" s="995" t="s">
        <v>112</v>
      </c>
      <c r="G44" s="996">
        <f>IF(H43="","",(H41*H43) )</f>
        <v>16.970664695515389</v>
      </c>
      <c r="H44" s="75" t="s">
        <v>158</v>
      </c>
      <c r="I44" s="45"/>
      <c r="J44" s="75"/>
      <c r="R44" s="26">
        <f t="shared" si="23"/>
        <v>0.06</v>
      </c>
      <c r="S44" s="11">
        <f t="shared" si="23"/>
        <v>277.39172256068224</v>
      </c>
      <c r="T44" s="11">
        <f t="shared" si="24"/>
        <v>36.704736195726113</v>
      </c>
      <c r="U44" s="11">
        <f t="shared" si="24"/>
        <v>33.997041694871669</v>
      </c>
      <c r="V44" s="11"/>
      <c r="W44" s="11">
        <f t="shared" si="25"/>
        <v>317.73988888888891</v>
      </c>
      <c r="X44" s="11">
        <f t="shared" si="25"/>
        <v>72.213611111111106</v>
      </c>
      <c r="Y44" s="11">
        <f t="shared" si="25"/>
        <v>28.885444444444445</v>
      </c>
      <c r="Z44" s="11"/>
      <c r="AA44" s="11">
        <f t="shared" si="26"/>
        <v>479.14083333333332</v>
      </c>
      <c r="AB44" s="11">
        <f t="shared" si="26"/>
        <v>159.71361111111111</v>
      </c>
      <c r="AC44" s="11">
        <f t="shared" si="26"/>
        <v>26.618935185185183</v>
      </c>
    </row>
    <row r="45" spans="1:47" ht="13.5" thickBot="1" x14ac:dyDescent="0.35">
      <c r="A45" s="450"/>
      <c r="B45" s="37" t="s">
        <v>3</v>
      </c>
      <c r="C45" s="37" t="s">
        <v>3</v>
      </c>
      <c r="D45" s="37" t="s">
        <v>3</v>
      </c>
      <c r="E45" s="37" t="s">
        <v>3</v>
      </c>
      <c r="F45" s="997" t="s">
        <v>112</v>
      </c>
      <c r="G45" s="998">
        <f>IF(H43="","",G44-(H43/2/12) )</f>
        <v>15.970664695515389</v>
      </c>
      <c r="H45" s="76" t="s">
        <v>164</v>
      </c>
      <c r="I45" s="76"/>
      <c r="J45" s="77"/>
      <c r="R45" s="26">
        <f t="shared" si="23"/>
        <v>6.25E-2</v>
      </c>
      <c r="S45" s="11">
        <f t="shared" si="23"/>
        <v>255.64421151192477</v>
      </c>
      <c r="T45" s="11">
        <f t="shared" si="24"/>
        <v>33.827084877981186</v>
      </c>
      <c r="U45" s="11">
        <f t="shared" si="24"/>
        <v>31.33167362599373</v>
      </c>
      <c r="V45" s="11"/>
      <c r="W45" s="11">
        <f t="shared" si="25"/>
        <v>292.82908159999999</v>
      </c>
      <c r="X45" s="11">
        <f t="shared" si="25"/>
        <v>66.552064000000001</v>
      </c>
      <c r="Y45" s="11">
        <f t="shared" si="25"/>
        <v>26.620825600000003</v>
      </c>
      <c r="Z45" s="11"/>
      <c r="AA45" s="11">
        <f t="shared" si="26"/>
        <v>441.57619199999999</v>
      </c>
      <c r="AB45" s="11">
        <f t="shared" si="26"/>
        <v>147.19206399999999</v>
      </c>
      <c r="AC45" s="11">
        <f t="shared" si="26"/>
        <v>24.532010666666665</v>
      </c>
    </row>
    <row r="46" spans="1:47" ht="13.5" thickBot="1" x14ac:dyDescent="0.35">
      <c r="L46" t="s">
        <v>3</v>
      </c>
      <c r="R46" s="26">
        <f t="shared" ref="R46:U56" si="27">R17</f>
        <v>6.5000000000000002E-2</v>
      </c>
      <c r="S46" s="11">
        <f t="shared" si="27"/>
        <v>236.35744407537419</v>
      </c>
      <c r="T46" s="11">
        <f t="shared" si="27"/>
        <v>31.275041492216332</v>
      </c>
      <c r="U46" s="11">
        <f t="shared" si="27"/>
        <v>28.967893515156923</v>
      </c>
      <c r="V46" s="11"/>
      <c r="W46" s="11">
        <f t="shared" ref="W46:Y56" si="28">W17</f>
        <v>270.73694674556208</v>
      </c>
      <c r="X46" s="11">
        <f t="shared" si="28"/>
        <v>61.531124260355021</v>
      </c>
      <c r="Y46" s="11">
        <f t="shared" si="28"/>
        <v>24.612449704142008</v>
      </c>
      <c r="Z46" s="11"/>
      <c r="AA46" s="11">
        <f t="shared" si="26"/>
        <v>408.26201183431942</v>
      </c>
      <c r="AB46" s="11">
        <f t="shared" si="26"/>
        <v>136.08733727810647</v>
      </c>
      <c r="AC46" s="11">
        <f t="shared" si="26"/>
        <v>22.681222879684412</v>
      </c>
    </row>
    <row r="47" spans="1:47" ht="13.5" thickBot="1" x14ac:dyDescent="0.35">
      <c r="A47" s="940" t="s">
        <v>244</v>
      </c>
      <c r="B47" s="999"/>
      <c r="C47" s="1000"/>
      <c r="D47" s="1000"/>
      <c r="E47" s="541" t="s">
        <v>151</v>
      </c>
      <c r="F47" s="1000"/>
      <c r="G47" s="1000"/>
      <c r="H47" s="1000"/>
      <c r="I47" s="1000"/>
      <c r="J47" s="1001"/>
      <c r="R47" s="26">
        <f t="shared" si="27"/>
        <v>6.7500000000000004E-2</v>
      </c>
      <c r="S47" s="11">
        <f t="shared" si="27"/>
        <v>219.1737067146131</v>
      </c>
      <c r="T47" s="11">
        <f t="shared" si="27"/>
        <v>29.001273043536681</v>
      </c>
      <c r="U47" s="11">
        <f t="shared" si="27"/>
        <v>26.861860104589958</v>
      </c>
      <c r="V47" s="11"/>
      <c r="W47" s="11">
        <f t="shared" si="28"/>
        <v>251.05373936899861</v>
      </c>
      <c r="X47" s="11">
        <f t="shared" si="28"/>
        <v>57.057668038408771</v>
      </c>
      <c r="Y47" s="11">
        <f t="shared" si="28"/>
        <v>22.823067215363508</v>
      </c>
      <c r="Z47" s="11"/>
      <c r="AA47" s="11">
        <f t="shared" si="26"/>
        <v>378.58041152263365</v>
      </c>
      <c r="AB47" s="11">
        <f t="shared" si="26"/>
        <v>126.19347050754456</v>
      </c>
      <c r="AC47" s="11">
        <f t="shared" si="26"/>
        <v>21.032245084590759</v>
      </c>
    </row>
    <row r="48" spans="1:47" ht="14" thickTop="1" thickBot="1" x14ac:dyDescent="0.35">
      <c r="B48" s="85"/>
      <c r="C48" s="1002"/>
      <c r="D48" s="1002"/>
      <c r="E48" s="1002"/>
      <c r="F48" s="101" t="s">
        <v>165</v>
      </c>
      <c r="G48" s="1002"/>
      <c r="H48" s="1003" t="s">
        <v>152</v>
      </c>
      <c r="I48" s="1004">
        <f>600/4.356</f>
        <v>137.74104683195591</v>
      </c>
      <c r="J48" s="582">
        <f>I48</f>
        <v>137.74104683195591</v>
      </c>
      <c r="R48" s="26">
        <f t="shared" si="27"/>
        <v>7.0000000000000007E-2</v>
      </c>
      <c r="S48" s="11">
        <f t="shared" si="27"/>
        <v>203.79800024866449</v>
      </c>
      <c r="T48" s="11">
        <f t="shared" si="27"/>
        <v>26.966744960125304</v>
      </c>
      <c r="U48" s="11">
        <f t="shared" si="27"/>
        <v>24.977418388068976</v>
      </c>
      <c r="V48" s="11"/>
      <c r="W48" s="11">
        <f t="shared" si="28"/>
        <v>233.44155102040813</v>
      </c>
      <c r="X48" s="11">
        <f t="shared" si="28"/>
        <v>53.054897959183663</v>
      </c>
      <c r="Y48" s="11">
        <f t="shared" si="28"/>
        <v>21.221959183673466</v>
      </c>
      <c r="Z48" s="11"/>
      <c r="AA48" s="11">
        <f t="shared" ref="AA48:AC56" si="29">AA19</f>
        <v>352.02183673469381</v>
      </c>
      <c r="AB48" s="11">
        <f t="shared" si="29"/>
        <v>117.34061224489794</v>
      </c>
      <c r="AC48" s="11">
        <f t="shared" si="29"/>
        <v>19.556768707482988</v>
      </c>
    </row>
    <row r="49" spans="1:49" ht="13.5" thickBot="1" x14ac:dyDescent="0.35">
      <c r="B49" s="1005"/>
      <c r="C49" s="1006"/>
      <c r="D49" s="1006"/>
      <c r="E49" s="1006"/>
      <c r="F49" s="1006"/>
      <c r="G49" s="71"/>
      <c r="H49" s="1007" t="s">
        <v>160</v>
      </c>
      <c r="I49" s="974">
        <f>8.5*2.54</f>
        <v>21.59</v>
      </c>
      <c r="J49" s="374">
        <f>IF(J48="","",((2*J50)/SQRT((10000/J48)-1))*100 )</f>
        <v>21.589999999999996</v>
      </c>
      <c r="R49" s="26">
        <f t="shared" si="27"/>
        <v>7.2500000000000009E-2</v>
      </c>
      <c r="S49" s="11">
        <f t="shared" si="27"/>
        <v>189.98529392978944</v>
      </c>
      <c r="T49" s="11">
        <f t="shared" si="27"/>
        <v>25.139034540711339</v>
      </c>
      <c r="U49" s="11">
        <f t="shared" si="27"/>
        <v>23.284537474727795</v>
      </c>
      <c r="V49" s="11"/>
      <c r="W49" s="11">
        <f t="shared" si="28"/>
        <v>217.61970986920329</v>
      </c>
      <c r="X49" s="11">
        <f t="shared" si="28"/>
        <v>49.459024970273468</v>
      </c>
      <c r="Y49" s="11">
        <f t="shared" si="28"/>
        <v>19.78360998810939</v>
      </c>
      <c r="Z49" s="11"/>
      <c r="AA49" s="11">
        <f t="shared" si="29"/>
        <v>328.16304399524364</v>
      </c>
      <c r="AB49" s="11">
        <f t="shared" si="29"/>
        <v>109.38768133174788</v>
      </c>
      <c r="AC49" s="11">
        <f t="shared" si="29"/>
        <v>18.231280221957981</v>
      </c>
    </row>
    <row r="50" spans="1:49" ht="13.5" thickBot="1" x14ac:dyDescent="0.35">
      <c r="B50" s="78"/>
      <c r="C50" s="692" t="s">
        <v>148</v>
      </c>
      <c r="D50" s="1008">
        <v>21.59</v>
      </c>
      <c r="E50" s="1006" t="s">
        <v>156</v>
      </c>
      <c r="F50" s="71" t="s">
        <v>114</v>
      </c>
      <c r="G50" s="1006" t="s">
        <v>3</v>
      </c>
      <c r="H50" s="1009" t="s">
        <v>126</v>
      </c>
      <c r="I50" s="93">
        <f>IF(I48&gt;0,(SQRT((10000/I48)-1)*(I49))/2/100,"")</f>
        <v>0.91343817470040078</v>
      </c>
      <c r="J50" s="583">
        <f>I50</f>
        <v>0.91343817470040078</v>
      </c>
      <c r="R50" s="26">
        <f t="shared" si="27"/>
        <v>7.5000000000000011E-2</v>
      </c>
      <c r="S50" s="11">
        <f t="shared" si="27"/>
        <v>177.53070243883656</v>
      </c>
      <c r="T50" s="11">
        <f t="shared" si="27"/>
        <v>23.491031165264705</v>
      </c>
      <c r="U50" s="11">
        <f t="shared" si="27"/>
        <v>21.758106684717859</v>
      </c>
      <c r="V50" s="11"/>
      <c r="W50" s="11">
        <f t="shared" si="28"/>
        <v>203.35352888888883</v>
      </c>
      <c r="X50" s="11">
        <f t="shared" si="28"/>
        <v>46.216711111111096</v>
      </c>
      <c r="Y50" s="11">
        <f t="shared" si="28"/>
        <v>18.486684444444439</v>
      </c>
      <c r="Z50" s="11"/>
      <c r="AA50" s="11">
        <f t="shared" si="29"/>
        <v>306.65013333333326</v>
      </c>
      <c r="AB50" s="11">
        <f t="shared" si="29"/>
        <v>102.21671111111108</v>
      </c>
      <c r="AC50" s="11">
        <f t="shared" si="29"/>
        <v>17.036118518518514</v>
      </c>
    </row>
    <row r="51" spans="1:49" ht="13" x14ac:dyDescent="0.3">
      <c r="B51" s="78"/>
      <c r="C51" s="692" t="s">
        <v>149</v>
      </c>
      <c r="D51" s="1010">
        <f>I50</f>
        <v>0.91343817470040078</v>
      </c>
      <c r="E51" s="1006" t="s">
        <v>75</v>
      </c>
      <c r="F51" s="91">
        <f>10000/((D51*2/(D50/100))^2+D52)</f>
        <v>137.74104683195594</v>
      </c>
      <c r="G51" s="1006" t="s">
        <v>70</v>
      </c>
      <c r="H51" s="1006"/>
      <c r="I51" s="1006"/>
      <c r="J51" s="1011"/>
      <c r="R51" s="26">
        <f t="shared" si="27"/>
        <v>7.7500000000000013E-2</v>
      </c>
      <c r="S51" s="11">
        <f t="shared" si="27"/>
        <v>166.26184411545569</v>
      </c>
      <c r="T51" s="11">
        <f t="shared" si="27"/>
        <v>21.99992512875987</v>
      </c>
      <c r="U51" s="11">
        <f t="shared" si="27"/>
        <v>20.37699897632266</v>
      </c>
      <c r="V51" s="11"/>
      <c r="W51" s="11">
        <f t="shared" si="28"/>
        <v>190.44555254942762</v>
      </c>
      <c r="X51" s="11">
        <f t="shared" si="28"/>
        <v>43.283080124869912</v>
      </c>
      <c r="Y51" s="11">
        <f t="shared" si="28"/>
        <v>17.313232049947967</v>
      </c>
      <c r="Z51" s="11"/>
      <c r="AA51" s="11">
        <f t="shared" si="29"/>
        <v>287.18534859521321</v>
      </c>
      <c r="AB51" s="11">
        <f t="shared" si="29"/>
        <v>95.728449531737738</v>
      </c>
      <c r="AC51" s="11">
        <f t="shared" si="29"/>
        <v>15.954741588622955</v>
      </c>
    </row>
    <row r="52" spans="1:49" ht="13" x14ac:dyDescent="0.3">
      <c r="B52" s="89"/>
      <c r="C52" s="692" t="s">
        <v>145</v>
      </c>
      <c r="D52" s="1012">
        <v>1</v>
      </c>
      <c r="E52" s="1006"/>
      <c r="F52" s="1006"/>
      <c r="G52" s="1006"/>
      <c r="H52" s="1006"/>
      <c r="I52" s="1006"/>
      <c r="J52" s="1013"/>
      <c r="K52" s="461" t="s">
        <v>150</v>
      </c>
      <c r="L52" s="447"/>
      <c r="M52" s="447"/>
      <c r="N52" s="978"/>
      <c r="R52" s="26">
        <f t="shared" si="27"/>
        <v>8.0000000000000016E-2</v>
      </c>
      <c r="S52" s="11">
        <f t="shared" si="27"/>
        <v>156.03284394038369</v>
      </c>
      <c r="T52" s="11">
        <f t="shared" si="27"/>
        <v>20.646414110095929</v>
      </c>
      <c r="U52" s="11">
        <f t="shared" si="27"/>
        <v>19.123335953365306</v>
      </c>
      <c r="V52" s="11"/>
      <c r="W52" s="11">
        <f t="shared" si="28"/>
        <v>178.72868749999986</v>
      </c>
      <c r="X52" s="11">
        <f t="shared" si="28"/>
        <v>40.620156249999972</v>
      </c>
      <c r="Y52" s="11">
        <f t="shared" si="28"/>
        <v>16.248062499999989</v>
      </c>
      <c r="Z52" s="11"/>
      <c r="AA52" s="11">
        <f t="shared" si="29"/>
        <v>269.51671874999988</v>
      </c>
      <c r="AB52" s="11">
        <f t="shared" si="29"/>
        <v>89.838906249999951</v>
      </c>
      <c r="AC52" s="11">
        <f t="shared" si="29"/>
        <v>14.973151041666657</v>
      </c>
    </row>
    <row r="53" spans="1:49" ht="13" x14ac:dyDescent="0.3">
      <c r="B53" s="89" t="s">
        <v>161</v>
      </c>
      <c r="C53" s="1006"/>
      <c r="D53" s="1006"/>
      <c r="E53" s="1006"/>
      <c r="F53" s="1006"/>
      <c r="G53" s="692" t="s">
        <v>162</v>
      </c>
      <c r="H53" s="979">
        <f>SQRT((D51*2*100/D50)^2+D52)/100/2</f>
        <v>4.2602816808281582E-2</v>
      </c>
      <c r="I53" s="1006" t="s">
        <v>154</v>
      </c>
      <c r="J53" s="1013"/>
      <c r="K53" s="980" t="s">
        <v>317</v>
      </c>
      <c r="L53" s="945"/>
      <c r="M53" s="945"/>
      <c r="N53" s="981"/>
      <c r="R53" s="26">
        <f t="shared" si="27"/>
        <v>8.2500000000000018E-2</v>
      </c>
      <c r="S53" s="11">
        <f t="shared" si="27"/>
        <v>146.71958879242689</v>
      </c>
      <c r="T53" s="11">
        <f t="shared" si="27"/>
        <v>19.414075343193968</v>
      </c>
      <c r="U53" s="11">
        <f t="shared" si="27"/>
        <v>17.981906351006494</v>
      </c>
      <c r="V53" s="11"/>
      <c r="W53" s="11">
        <f t="shared" si="28"/>
        <v>168.06076767676763</v>
      </c>
      <c r="X53" s="11">
        <f t="shared" si="28"/>
        <v>38.195629017447182</v>
      </c>
      <c r="Y53" s="11">
        <f t="shared" si="28"/>
        <v>15.278251606978873</v>
      </c>
      <c r="Z53" s="11"/>
      <c r="AA53" s="11">
        <f t="shared" si="29"/>
        <v>253.42986225895302</v>
      </c>
      <c r="AB53" s="11">
        <f t="shared" si="29"/>
        <v>84.476620752984346</v>
      </c>
      <c r="AC53" s="11">
        <f t="shared" si="29"/>
        <v>14.079436792164056</v>
      </c>
    </row>
    <row r="54" spans="1:49" ht="13.5" thickBot="1" x14ac:dyDescent="0.35">
      <c r="B54" s="1005" t="s">
        <v>3</v>
      </c>
      <c r="C54" s="1006"/>
      <c r="D54" s="1006"/>
      <c r="E54" s="1006"/>
      <c r="F54" s="1006"/>
      <c r="G54" s="692" t="s">
        <v>159</v>
      </c>
      <c r="H54" s="1014">
        <f>H53-(1/200)</f>
        <v>3.7602816808281585E-2</v>
      </c>
      <c r="I54" s="1006" t="s">
        <v>154</v>
      </c>
      <c r="J54" s="1013"/>
      <c r="K54" s="983" t="s">
        <v>229</v>
      </c>
      <c r="L54" s="984"/>
      <c r="M54" s="984"/>
      <c r="N54" s="985"/>
      <c r="R54" s="26">
        <f t="shared" si="27"/>
        <v>8.500000000000002E-2</v>
      </c>
      <c r="S54" s="11">
        <f t="shared" si="27"/>
        <v>138.21594480532261</v>
      </c>
      <c r="T54" s="11">
        <f t="shared" si="27"/>
        <v>18.288865094064217</v>
      </c>
      <c r="U54" s="11">
        <f t="shared" si="27"/>
        <v>16.939702436199028</v>
      </c>
      <c r="V54" s="11"/>
      <c r="W54" s="11">
        <f t="shared" si="28"/>
        <v>158.3202214532871</v>
      </c>
      <c r="X54" s="11">
        <f t="shared" si="28"/>
        <v>35.981868512110708</v>
      </c>
      <c r="Y54" s="11">
        <f t="shared" si="28"/>
        <v>14.392747404844284</v>
      </c>
      <c r="Z54" s="11"/>
      <c r="AA54" s="11">
        <f t="shared" si="29"/>
        <v>238.74145328719712</v>
      </c>
      <c r="AB54" s="11">
        <f t="shared" si="29"/>
        <v>79.580484429065706</v>
      </c>
      <c r="AC54" s="11">
        <f t="shared" si="29"/>
        <v>13.263414071510951</v>
      </c>
    </row>
    <row r="55" spans="1:49" ht="13.5" thickBot="1" x14ac:dyDescent="0.35">
      <c r="B55" s="1015" t="s">
        <v>123</v>
      </c>
      <c r="C55" s="986">
        <f>H53</f>
        <v>4.2602816808281582E-2</v>
      </c>
      <c r="D55" s="1016" t="s">
        <v>125</v>
      </c>
      <c r="E55" s="1017" t="s">
        <v>124</v>
      </c>
      <c r="F55" s="71"/>
      <c r="G55" s="1018" t="s">
        <v>315</v>
      </c>
      <c r="H55" s="1019">
        <f>2.54*H43</f>
        <v>60.96</v>
      </c>
      <c r="I55" s="1020" t="s">
        <v>74</v>
      </c>
      <c r="J55" s="1013"/>
      <c r="R55" s="26">
        <f t="shared" si="27"/>
        <v>8.7500000000000022E-2</v>
      </c>
      <c r="S55" s="11">
        <f t="shared" si="27"/>
        <v>130.43072015914521</v>
      </c>
      <c r="T55" s="11">
        <f t="shared" si="27"/>
        <v>17.258716774480188</v>
      </c>
      <c r="U55" s="11">
        <f t="shared" si="27"/>
        <v>15.985547768364141</v>
      </c>
      <c r="V55" s="11"/>
      <c r="W55" s="11">
        <f t="shared" si="28"/>
        <v>149.40259265306116</v>
      </c>
      <c r="X55" s="11">
        <f t="shared" si="28"/>
        <v>33.955134693877532</v>
      </c>
      <c r="Y55" s="11">
        <f t="shared" si="28"/>
        <v>13.582053877551013</v>
      </c>
      <c r="Z55" s="11"/>
      <c r="AA55" s="11">
        <f t="shared" si="29"/>
        <v>225.29397551020395</v>
      </c>
      <c r="AB55" s="11">
        <f t="shared" si="29"/>
        <v>75.09799183673465</v>
      </c>
      <c r="AC55" s="11">
        <f t="shared" si="29"/>
        <v>12.516331972789107</v>
      </c>
    </row>
    <row r="56" spans="1:49" ht="13.5" thickBot="1" x14ac:dyDescent="0.35">
      <c r="B56" s="1021" t="s">
        <v>3</v>
      </c>
      <c r="C56" s="1022" t="s">
        <v>318</v>
      </c>
      <c r="D56" s="1023">
        <f>IF(C55="","",(10000/ (C55*2*100)^2 ) )</f>
        <v>137.74104683195594</v>
      </c>
      <c r="E56" s="1024">
        <f>IF(C55="","",(10000/((C55+1/200)*2*100)^2) )</f>
        <v>110.32519521216445</v>
      </c>
      <c r="F56" s="1025" t="s">
        <v>112</v>
      </c>
      <c r="G56" s="1026">
        <f>(H53*H55)</f>
        <v>2.5970677126328452</v>
      </c>
      <c r="H56" s="1027" t="s">
        <v>163</v>
      </c>
      <c r="I56" s="1006"/>
      <c r="J56" s="1013"/>
      <c r="R56" s="26">
        <f t="shared" si="27"/>
        <v>9.0000000000000024E-2</v>
      </c>
      <c r="S56" s="11">
        <f t="shared" si="27"/>
        <v>123.28521002696982</v>
      </c>
      <c r="T56" s="11">
        <f t="shared" si="27"/>
        <v>16.313216086989375</v>
      </c>
      <c r="U56" s="11">
        <f t="shared" si="27"/>
        <v>15.109796308831845</v>
      </c>
      <c r="V56" s="11"/>
      <c r="W56" s="11">
        <f t="shared" si="28"/>
        <v>141.21772839506164</v>
      </c>
      <c r="X56" s="11">
        <f t="shared" si="28"/>
        <v>32.094938271604917</v>
      </c>
      <c r="Y56" s="11">
        <f t="shared" si="28"/>
        <v>12.837975308641967</v>
      </c>
      <c r="Z56" s="11"/>
      <c r="AA56" s="11">
        <f t="shared" si="29"/>
        <v>212.95148148148138</v>
      </c>
      <c r="AB56" s="11">
        <f t="shared" si="29"/>
        <v>70.983827160493789</v>
      </c>
      <c r="AC56" s="11">
        <f t="shared" si="29"/>
        <v>11.830637860082298</v>
      </c>
    </row>
    <row r="57" spans="1:49" ht="13.5" thickBot="1" x14ac:dyDescent="0.35">
      <c r="B57" s="629"/>
      <c r="C57" s="629"/>
      <c r="D57" s="629"/>
      <c r="E57" s="629"/>
      <c r="F57" s="1028" t="s">
        <v>112</v>
      </c>
      <c r="G57" s="1029">
        <f>IF(H55="","",G56-(H55/2/100) )</f>
        <v>2.292267712632845</v>
      </c>
      <c r="H57" s="1030" t="s">
        <v>222</v>
      </c>
      <c r="I57" s="1030"/>
      <c r="J57" s="1031"/>
      <c r="AE57" s="10"/>
      <c r="AF57" s="10"/>
      <c r="AG57" s="10"/>
      <c r="AH57" s="10"/>
      <c r="AI57" s="10"/>
      <c r="AJ57" s="10"/>
      <c r="AK57" s="10"/>
      <c r="AL57" s="10"/>
      <c r="AM57" s="10"/>
      <c r="AN57" s="10"/>
      <c r="AO57" s="10"/>
      <c r="AQ57"/>
      <c r="AR57"/>
      <c r="AS57"/>
      <c r="AT57"/>
      <c r="AU57"/>
      <c r="AV57"/>
      <c r="AW57"/>
    </row>
    <row r="58" spans="1:49" ht="13" x14ac:dyDescent="0.3">
      <c r="R58" s="167" t="str">
        <f>J1</f>
        <v>Other #Points Options :</v>
      </c>
      <c r="S58" s="167"/>
      <c r="T58" s="167"/>
      <c r="U58" s="457" t="str">
        <f>M1</f>
        <v>* start  TC=</v>
      </c>
      <c r="V58" s="166">
        <f>N1</f>
        <v>34</v>
      </c>
      <c r="W58" s="456" t="str">
        <f>O1</f>
        <v>* interval=</v>
      </c>
      <c r="X58" s="1032">
        <f>P1</f>
        <v>3</v>
      </c>
      <c r="AE58" s="10"/>
      <c r="AF58" s="10"/>
      <c r="AG58" s="10"/>
      <c r="AH58" s="10"/>
      <c r="AI58" s="10"/>
      <c r="AJ58" s="10"/>
      <c r="AK58" s="10"/>
      <c r="AL58" s="10"/>
      <c r="AM58" s="10"/>
      <c r="AN58" s="10"/>
      <c r="AO58" s="10"/>
    </row>
    <row r="59" spans="1:49" ht="13.5" thickBot="1" x14ac:dyDescent="0.35">
      <c r="R59" s="457" t="s">
        <v>3</v>
      </c>
      <c r="S59" s="167" t="str">
        <f>K2</f>
        <v>* modify by start by :</v>
      </c>
      <c r="T59" s="167"/>
      <c r="U59" s="1032">
        <f>M2</f>
        <v>0</v>
      </c>
      <c r="V59" s="457" t="str">
        <f>N2</f>
        <v>Total</v>
      </c>
      <c r="W59" s="457"/>
      <c r="X59" s="457"/>
      <c r="AE59" s="10"/>
      <c r="AF59" s="10"/>
      <c r="AG59" s="10"/>
      <c r="AH59" s="10"/>
      <c r="AI59" s="10"/>
      <c r="AJ59" s="10"/>
      <c r="AK59" s="10"/>
      <c r="AL59" s="10"/>
      <c r="AM59" s="10"/>
      <c r="AN59" s="10"/>
      <c r="AO59" s="10"/>
    </row>
    <row r="60" spans="1:49" ht="13.5" thickBot="1" x14ac:dyDescent="0.35">
      <c r="A60" s="940" t="s">
        <v>246</v>
      </c>
      <c r="B60" s="79"/>
      <c r="C60" s="80"/>
      <c r="D60" s="80"/>
      <c r="E60" s="81" t="s">
        <v>224</v>
      </c>
      <c r="F60" s="80"/>
      <c r="G60" s="80"/>
      <c r="H60" s="80"/>
      <c r="I60" s="80"/>
      <c r="J60" s="82"/>
      <c r="R60" s="458" t="str">
        <f>J3</f>
        <v>n(TC)</v>
      </c>
      <c r="S60" s="459" t="str">
        <f>K3</f>
        <v>SE%(TC)</v>
      </c>
      <c r="T60" s="458" t="str">
        <f>L3</f>
        <v>n(VBAR)</v>
      </c>
      <c r="U60" s="460" t="str">
        <f>M3</f>
        <v>SE%(VBAR)</v>
      </c>
      <c r="V60" s="458" t="str">
        <f>N3</f>
        <v>Cost</v>
      </c>
      <c r="W60" s="458"/>
      <c r="X60" s="458" t="s">
        <v>34</v>
      </c>
      <c r="AE60" s="10"/>
      <c r="AF60" s="10"/>
      <c r="AG60" s="10"/>
      <c r="AH60" s="10"/>
      <c r="AI60" s="10"/>
      <c r="AJ60" s="10"/>
      <c r="AK60" s="10"/>
      <c r="AL60" s="10"/>
      <c r="AM60" s="10"/>
      <c r="AN60" s="10"/>
      <c r="AO60" s="10"/>
    </row>
    <row r="61" spans="1:49" ht="13" x14ac:dyDescent="0.3">
      <c r="B61" s="127" t="s">
        <v>110</v>
      </c>
      <c r="C61" s="128"/>
      <c r="D61" s="128"/>
      <c r="E61" s="128"/>
      <c r="F61" s="128"/>
      <c r="G61" s="128"/>
      <c r="H61" s="128"/>
      <c r="I61" s="129" t="s">
        <v>3</v>
      </c>
      <c r="J61" s="130"/>
      <c r="L61" s="33"/>
      <c r="R61" s="167">
        <f t="shared" ref="R61:X76" si="30">J4</f>
        <v>26.618935185185183</v>
      </c>
      <c r="S61" s="455">
        <f t="shared" si="30"/>
        <v>5.8146812879234198E-2</v>
      </c>
      <c r="T61" s="167">
        <f t="shared" si="30"/>
        <v>159.71361111111111</v>
      </c>
      <c r="U61" s="466">
        <f t="shared" si="30"/>
        <v>1.4796896701245293E-2</v>
      </c>
      <c r="V61" s="167">
        <f t="shared" si="30"/>
        <v>479.14083333333332</v>
      </c>
      <c r="W61" s="167">
        <f t="shared" si="30"/>
        <v>1</v>
      </c>
      <c r="X61" s="167">
        <f t="shared" si="30"/>
        <v>3</v>
      </c>
      <c r="AE61" s="10"/>
      <c r="AF61" s="10"/>
      <c r="AG61" s="10"/>
      <c r="AH61" s="10"/>
      <c r="AI61" s="10"/>
      <c r="AJ61" s="10"/>
      <c r="AK61" s="10"/>
      <c r="AL61" s="10"/>
      <c r="AM61" s="10"/>
      <c r="AN61" s="10"/>
      <c r="AO61" s="10"/>
    </row>
    <row r="62" spans="1:49" ht="13.5" thickBot="1" x14ac:dyDescent="0.35">
      <c r="B62" s="62" t="s">
        <v>228</v>
      </c>
      <c r="C62" s="563">
        <v>60</v>
      </c>
      <c r="D62" s="52" t="s">
        <v>76</v>
      </c>
      <c r="E62" s="584">
        <v>12</v>
      </c>
      <c r="F62" s="131" t="s">
        <v>108</v>
      </c>
      <c r="G62" s="132" t="s">
        <v>111</v>
      </c>
      <c r="H62" s="45"/>
      <c r="I62" s="45"/>
      <c r="J62" s="75"/>
      <c r="R62" s="167">
        <f t="shared" si="30"/>
        <v>40</v>
      </c>
      <c r="S62" s="455">
        <f t="shared" si="30"/>
        <v>4.7434164902525687E-2</v>
      </c>
      <c r="T62" s="167">
        <f t="shared" si="30"/>
        <v>100</v>
      </c>
      <c r="U62" s="466">
        <f t="shared" si="30"/>
        <v>3.6742346141747671E-2</v>
      </c>
      <c r="V62" s="167">
        <f t="shared" si="30"/>
        <v>440</v>
      </c>
      <c r="W62" s="167">
        <f t="shared" si="30"/>
        <v>4</v>
      </c>
      <c r="X62" s="167">
        <f t="shared" si="30"/>
        <v>3</v>
      </c>
      <c r="AE62" s="10"/>
      <c r="AF62" s="10"/>
      <c r="AG62" s="10"/>
      <c r="AH62" s="10"/>
      <c r="AI62" s="10"/>
      <c r="AJ62" s="10"/>
      <c r="AK62" s="10"/>
      <c r="AL62" s="10"/>
      <c r="AM62" s="10"/>
      <c r="AN62" s="10"/>
      <c r="AO62" s="10"/>
    </row>
    <row r="63" spans="1:49" ht="13.5" thickBot="1" x14ac:dyDescent="0.35">
      <c r="B63" s="63" t="s">
        <v>197</v>
      </c>
      <c r="C63" s="367">
        <f>IF(E62="","",C62/( (E62/2/12)^2*3.14159))</f>
        <v>76.394437211730363</v>
      </c>
      <c r="D63" s="45" t="s">
        <v>3</v>
      </c>
      <c r="E63" s="45" t="s">
        <v>3</v>
      </c>
      <c r="F63" s="45" t="s">
        <v>3</v>
      </c>
      <c r="G63" s="45" t="s">
        <v>3</v>
      </c>
      <c r="H63" s="1033">
        <f>IF(E62&gt;0,(((H65)^2)*3.14159/43560),"")</f>
        <v>1.3089958333333334E-2</v>
      </c>
      <c r="I63" s="45" t="s">
        <v>319</v>
      </c>
      <c r="J63" s="75"/>
      <c r="K63" s="461" t="s">
        <v>150</v>
      </c>
      <c r="L63" s="447"/>
      <c r="M63" s="447"/>
      <c r="N63" s="978"/>
      <c r="R63" s="167">
        <f t="shared" si="30"/>
        <v>7</v>
      </c>
      <c r="S63" s="455">
        <f t="shared" si="30"/>
        <v>0.11338934190276816</v>
      </c>
      <c r="T63" s="167" t="str">
        <f t="shared" si="30"/>
        <v/>
      </c>
      <c r="U63" s="466" t="str">
        <f t="shared" si="30"/>
        <v/>
      </c>
      <c r="V63" s="167" t="str">
        <f t="shared" si="30"/>
        <v/>
      </c>
      <c r="W63" s="167">
        <f t="shared" si="30"/>
        <v>7</v>
      </c>
      <c r="X63" s="167">
        <f t="shared" si="30"/>
        <v>3</v>
      </c>
      <c r="AE63" s="10"/>
      <c r="AF63" s="10"/>
      <c r="AG63" s="10"/>
      <c r="AH63" s="10"/>
      <c r="AI63" s="10"/>
      <c r="AJ63" s="10"/>
      <c r="AK63" s="10"/>
      <c r="AL63" s="10"/>
      <c r="AM63" s="10"/>
      <c r="AN63" s="10"/>
      <c r="AO63" s="10"/>
    </row>
    <row r="64" spans="1:49" ht="13.5" thickBot="1" x14ac:dyDescent="0.35">
      <c r="B64" s="62"/>
      <c r="C64" s="45"/>
      <c r="D64" s="128"/>
      <c r="E64" s="133" t="s">
        <v>116</v>
      </c>
      <c r="F64" s="134" t="s">
        <v>170</v>
      </c>
      <c r="G64" s="543"/>
      <c r="H64" s="128" t="s">
        <v>3</v>
      </c>
      <c r="I64" s="128"/>
      <c r="J64" s="75"/>
      <c r="K64" s="1034" t="s">
        <v>233</v>
      </c>
      <c r="L64" s="984"/>
      <c r="M64" s="984"/>
      <c r="N64" s="985"/>
      <c r="R64" s="167">
        <f t="shared" si="30"/>
        <v>10</v>
      </c>
      <c r="S64" s="455">
        <f t="shared" si="30"/>
        <v>9.4868329805051374E-2</v>
      </c>
      <c r="T64" s="167" t="str">
        <f t="shared" si="30"/>
        <v/>
      </c>
      <c r="U64" s="466" t="str">
        <f t="shared" si="30"/>
        <v/>
      </c>
      <c r="V64" s="167" t="str">
        <f t="shared" si="30"/>
        <v/>
      </c>
      <c r="W64" s="167">
        <f t="shared" si="30"/>
        <v>10</v>
      </c>
      <c r="X64" s="167">
        <f t="shared" si="30"/>
        <v>3</v>
      </c>
      <c r="AE64" s="10"/>
      <c r="AF64" s="10"/>
      <c r="AG64" s="10"/>
      <c r="AH64" s="10"/>
      <c r="AI64" s="10"/>
      <c r="AJ64" s="10"/>
      <c r="AK64" s="10"/>
      <c r="AL64" s="10"/>
      <c r="AM64" s="10"/>
      <c r="AN64" s="10"/>
      <c r="AO64" s="10"/>
    </row>
    <row r="65" spans="1:41" ht="13.5" thickBot="1" x14ac:dyDescent="0.35">
      <c r="B65" s="61"/>
      <c r="C65" s="52" t="s">
        <v>320</v>
      </c>
      <c r="D65" s="370">
        <f>(43560/C62)</f>
        <v>726</v>
      </c>
      <c r="E65" s="52" t="s">
        <v>169</v>
      </c>
      <c r="F65" s="97">
        <f>SQRT(43560/(C62))/2/12</f>
        <v>1.1226827987756234</v>
      </c>
      <c r="G65" s="135" t="s">
        <v>171</v>
      </c>
      <c r="H65" s="92">
        <f>IF(E62&gt;0,F65*E62,"")</f>
        <v>13.47219358530748</v>
      </c>
      <c r="I65" s="45" t="s">
        <v>183</v>
      </c>
      <c r="J65" s="75"/>
      <c r="R65" s="167">
        <f t="shared" si="30"/>
        <v>13</v>
      </c>
      <c r="S65" s="455">
        <f t="shared" si="30"/>
        <v>8.3205029433784369E-2</v>
      </c>
      <c r="T65" s="167" t="str">
        <f t="shared" si="30"/>
        <v/>
      </c>
      <c r="U65" s="466" t="str">
        <f t="shared" si="30"/>
        <v/>
      </c>
      <c r="V65" s="167" t="str">
        <f t="shared" si="30"/>
        <v/>
      </c>
      <c r="W65" s="167">
        <f t="shared" si="30"/>
        <v>13</v>
      </c>
      <c r="X65" s="167">
        <f t="shared" si="30"/>
        <v>3</v>
      </c>
      <c r="AE65" s="10"/>
      <c r="AF65" s="10"/>
      <c r="AG65" s="10"/>
      <c r="AH65" s="10"/>
      <c r="AI65" s="10"/>
      <c r="AJ65" s="10"/>
      <c r="AK65" s="10"/>
      <c r="AL65" s="10"/>
      <c r="AM65" s="10"/>
      <c r="AN65" s="10"/>
      <c r="AO65" s="10"/>
    </row>
    <row r="66" spans="1:41" ht="13.5" thickBot="1" x14ac:dyDescent="0.35">
      <c r="B66" s="544" t="s">
        <v>200</v>
      </c>
      <c r="C66" s="463">
        <f>2*DEGREES(ASIN(SQRT(1/D65)))</f>
        <v>4.2538685783306756</v>
      </c>
      <c r="D66" s="545" t="s">
        <v>199</v>
      </c>
      <c r="E66" s="137" t="s">
        <v>168</v>
      </c>
      <c r="F66" s="98">
        <f>F65-(1/24)</f>
        <v>1.0810161321089566</v>
      </c>
      <c r="G66" s="136" t="s">
        <v>171</v>
      </c>
      <c r="H66" s="102">
        <f>IF(E62&gt;0,F66*E62,"")</f>
        <v>12.97219358530748</v>
      </c>
      <c r="I66" s="76" t="s">
        <v>184</v>
      </c>
      <c r="J66" s="77"/>
      <c r="K66" s="369" t="s">
        <v>3</v>
      </c>
      <c r="R66" s="167">
        <f t="shared" si="30"/>
        <v>16</v>
      </c>
      <c r="S66" s="455">
        <f t="shared" si="30"/>
        <v>7.4999999999999997E-2</v>
      </c>
      <c r="T66" s="167" t="str">
        <f t="shared" si="30"/>
        <v/>
      </c>
      <c r="U66" s="466" t="str">
        <f t="shared" si="30"/>
        <v/>
      </c>
      <c r="V66" s="167" t="str">
        <f t="shared" si="30"/>
        <v/>
      </c>
      <c r="W66" s="167">
        <f t="shared" si="30"/>
        <v>16</v>
      </c>
      <c r="X66" s="167">
        <f t="shared" si="30"/>
        <v>3</v>
      </c>
      <c r="AE66" s="10"/>
      <c r="AF66" s="10"/>
      <c r="AG66" s="10"/>
      <c r="AH66" s="10"/>
      <c r="AI66" s="10"/>
      <c r="AJ66" s="10"/>
      <c r="AK66" s="10"/>
      <c r="AL66" s="10"/>
      <c r="AM66" s="10"/>
      <c r="AN66" s="10"/>
      <c r="AO66" s="10"/>
    </row>
    <row r="67" spans="1:41" ht="13" thickBot="1" x14ac:dyDescent="0.3">
      <c r="P67" s="11"/>
      <c r="R67" s="167">
        <f t="shared" si="30"/>
        <v>19</v>
      </c>
      <c r="S67" s="167">
        <f t="shared" si="30"/>
        <v>6.8824720161168515E-2</v>
      </c>
      <c r="T67" s="167" t="str">
        <f t="shared" si="30"/>
        <v/>
      </c>
      <c r="U67" s="466" t="str">
        <f t="shared" si="30"/>
        <v/>
      </c>
      <c r="V67" s="167" t="str">
        <f t="shared" si="30"/>
        <v/>
      </c>
      <c r="W67" s="167">
        <f t="shared" si="30"/>
        <v>19</v>
      </c>
      <c r="X67" s="167">
        <f t="shared" si="30"/>
        <v>3</v>
      </c>
      <c r="AE67" s="10"/>
      <c r="AF67" s="10"/>
      <c r="AG67" s="10"/>
      <c r="AH67" s="10"/>
      <c r="AI67" s="10"/>
      <c r="AJ67" s="10"/>
      <c r="AK67" s="10"/>
      <c r="AL67" s="10"/>
      <c r="AM67" s="10"/>
      <c r="AN67" s="10"/>
      <c r="AO67" s="10"/>
    </row>
    <row r="68" spans="1:41" ht="13.5" thickBot="1" x14ac:dyDescent="0.35">
      <c r="A68" s="940" t="s">
        <v>247</v>
      </c>
      <c r="B68" s="1035"/>
      <c r="C68" s="1036"/>
      <c r="D68" s="1000"/>
      <c r="E68" s="541" t="s">
        <v>225</v>
      </c>
      <c r="F68" s="1000"/>
      <c r="G68" s="1000"/>
      <c r="H68" s="1000"/>
      <c r="I68" s="1000"/>
      <c r="J68" s="1001"/>
      <c r="R68" s="167">
        <f t="shared" si="30"/>
        <v>22</v>
      </c>
      <c r="S68" s="167">
        <f t="shared" si="30"/>
        <v>6.3960214906683119E-2</v>
      </c>
      <c r="T68" s="167" t="str">
        <f t="shared" si="30"/>
        <v/>
      </c>
      <c r="U68" s="466" t="str">
        <f t="shared" si="30"/>
        <v/>
      </c>
      <c r="V68" s="167" t="str">
        <f t="shared" si="30"/>
        <v/>
      </c>
      <c r="W68" s="167">
        <f t="shared" si="30"/>
        <v>22</v>
      </c>
      <c r="X68" s="167">
        <f t="shared" si="30"/>
        <v>3</v>
      </c>
      <c r="AE68" s="10"/>
      <c r="AF68" s="10"/>
      <c r="AG68" s="10"/>
      <c r="AH68" s="10"/>
      <c r="AI68" s="10"/>
      <c r="AJ68" s="10"/>
      <c r="AK68" s="10"/>
      <c r="AL68" s="10"/>
      <c r="AM68" s="10"/>
      <c r="AN68" s="10"/>
      <c r="AO68" s="10"/>
    </row>
    <row r="69" spans="1:41" ht="13.5" thickBot="1" x14ac:dyDescent="0.35">
      <c r="B69" s="1007" t="s">
        <v>227</v>
      </c>
      <c r="C69" s="563">
        <f>C62/4.356</f>
        <v>13.774104683195592</v>
      </c>
      <c r="D69" s="1037" t="s">
        <v>76</v>
      </c>
      <c r="E69" s="586">
        <f>E62*2.54</f>
        <v>30.48</v>
      </c>
      <c r="F69" s="1038" t="s">
        <v>109</v>
      </c>
      <c r="G69" s="1037" t="s">
        <v>3</v>
      </c>
      <c r="H69" s="1039">
        <f>IF(E69&gt;0,(((H72)^2)*3.14159),"")</f>
        <v>52.973181950198395</v>
      </c>
      <c r="I69" s="1040" t="s">
        <v>321</v>
      </c>
      <c r="J69" s="1041"/>
      <c r="R69" s="167">
        <f t="shared" si="30"/>
        <v>25</v>
      </c>
      <c r="S69" s="167">
        <f t="shared" si="30"/>
        <v>0.06</v>
      </c>
      <c r="T69" s="167" t="str">
        <f t="shared" si="30"/>
        <v/>
      </c>
      <c r="U69" s="466" t="str">
        <f t="shared" si="30"/>
        <v/>
      </c>
      <c r="V69" s="167" t="str">
        <f t="shared" si="30"/>
        <v/>
      </c>
      <c r="W69" s="167">
        <f t="shared" si="30"/>
        <v>25</v>
      </c>
      <c r="X69" s="167">
        <f t="shared" si="30"/>
        <v>3</v>
      </c>
      <c r="AE69" s="10"/>
      <c r="AF69" s="10"/>
      <c r="AG69" s="10"/>
      <c r="AH69" s="10"/>
      <c r="AI69" s="10"/>
      <c r="AJ69" s="10"/>
      <c r="AK69" s="10"/>
      <c r="AL69" s="10"/>
      <c r="AM69" s="10"/>
      <c r="AN69" s="10"/>
      <c r="AO69" s="10"/>
    </row>
    <row r="70" spans="1:41" ht="13.5" thickBot="1" x14ac:dyDescent="0.35">
      <c r="B70" s="1009" t="s">
        <v>198</v>
      </c>
      <c r="C70" s="1042">
        <f>IF(E69="","",C69/( (E69/100/2)^2*3.14159) )</f>
        <v>188.7747654917404</v>
      </c>
      <c r="D70" s="693" t="s">
        <v>3</v>
      </c>
      <c r="E70" s="693" t="s">
        <v>3</v>
      </c>
      <c r="F70" s="693" t="s">
        <v>3</v>
      </c>
      <c r="G70" s="692" t="s">
        <v>94</v>
      </c>
      <c r="H70" s="100">
        <f>IF(E69&gt;0,(H69/10000),"")</f>
        <v>5.2973181950198393E-3</v>
      </c>
      <c r="I70" s="1006" t="s">
        <v>322</v>
      </c>
      <c r="J70" s="1013"/>
      <c r="K70" s="448" t="s">
        <v>150</v>
      </c>
      <c r="L70" s="447"/>
      <c r="M70" s="447"/>
      <c r="N70" s="978"/>
      <c r="R70" s="167">
        <f t="shared" si="30"/>
        <v>28</v>
      </c>
      <c r="S70" s="167">
        <f t="shared" si="30"/>
        <v>5.6694670951384078E-2</v>
      </c>
      <c r="T70" s="167">
        <f t="shared" si="30"/>
        <v>90.660370370370273</v>
      </c>
      <c r="U70" s="466">
        <f t="shared" si="30"/>
        <v>1.9639610121239326E-2</v>
      </c>
      <c r="V70" s="167">
        <f t="shared" si="30"/>
        <v>349.32074074074058</v>
      </c>
      <c r="W70" s="167">
        <f t="shared" si="30"/>
        <v>28</v>
      </c>
      <c r="X70" s="167">
        <f t="shared" si="30"/>
        <v>3</v>
      </c>
      <c r="AE70" s="10"/>
      <c r="AF70" s="10"/>
      <c r="AG70" s="10"/>
      <c r="AH70" s="10"/>
      <c r="AI70" s="10"/>
      <c r="AJ70" s="10"/>
      <c r="AK70" s="10"/>
      <c r="AL70" s="10"/>
      <c r="AM70" s="10"/>
      <c r="AN70" s="10"/>
      <c r="AO70" s="10"/>
    </row>
    <row r="71" spans="1:41" ht="13.5" thickBot="1" x14ac:dyDescent="0.35">
      <c r="B71" s="95"/>
      <c r="C71" s="1040"/>
      <c r="D71" s="1040"/>
      <c r="E71" s="96" t="s">
        <v>167</v>
      </c>
      <c r="F71" s="94" t="s">
        <v>77</v>
      </c>
      <c r="G71" s="1040" t="s">
        <v>3</v>
      </c>
      <c r="H71" s="1006"/>
      <c r="I71" s="1040"/>
      <c r="J71" s="1041"/>
      <c r="K71" s="1043" t="s">
        <v>323</v>
      </c>
      <c r="L71" s="984"/>
      <c r="M71" s="984"/>
      <c r="N71" s="985"/>
      <c r="R71" s="167">
        <f t="shared" si="30"/>
        <v>31</v>
      </c>
      <c r="S71" s="167">
        <f t="shared" si="30"/>
        <v>5.3881590608032472E-2</v>
      </c>
      <c r="T71" s="167">
        <f t="shared" si="30"/>
        <v>50.186990740740761</v>
      </c>
      <c r="U71" s="466">
        <f t="shared" si="30"/>
        <v>2.6396480703843588E-2</v>
      </c>
      <c r="V71" s="167">
        <f t="shared" si="30"/>
        <v>286.37398148148151</v>
      </c>
      <c r="W71" s="167">
        <f t="shared" si="30"/>
        <v>31</v>
      </c>
      <c r="X71" s="167">
        <f t="shared" si="30"/>
        <v>3</v>
      </c>
      <c r="AE71" s="10"/>
      <c r="AF71" s="10"/>
      <c r="AG71" s="10"/>
      <c r="AH71" s="10"/>
      <c r="AI71" s="10"/>
      <c r="AJ71" s="10"/>
      <c r="AK71" s="10"/>
      <c r="AL71" s="10"/>
      <c r="AM71" s="10"/>
      <c r="AN71" s="10"/>
      <c r="AO71" s="10"/>
    </row>
    <row r="72" spans="1:41" ht="13.5" thickBot="1" x14ac:dyDescent="0.35">
      <c r="B72" s="1005"/>
      <c r="C72" s="1044" t="s">
        <v>226</v>
      </c>
      <c r="D72" s="99">
        <f>(10000/C69)</f>
        <v>726</v>
      </c>
      <c r="E72" s="692" t="s">
        <v>146</v>
      </c>
      <c r="F72" s="97">
        <f>SQRT(10000/(C69))/2/100</f>
        <v>0.13472193585307479</v>
      </c>
      <c r="G72" s="1020" t="s">
        <v>3</v>
      </c>
      <c r="H72" s="1045">
        <f>IF(E69&gt;0,(F72*E$69),"")</f>
        <v>4.1063246048017197</v>
      </c>
      <c r="I72" s="68" t="s">
        <v>172</v>
      </c>
      <c r="J72" s="1013"/>
      <c r="R72" s="167">
        <f t="shared" si="30"/>
        <v>34</v>
      </c>
      <c r="S72" s="167">
        <f t="shared" si="30"/>
        <v>5.1449575542752646E-2</v>
      </c>
      <c r="T72" s="167">
        <f t="shared" si="30"/>
        <v>36.695864197530852</v>
      </c>
      <c r="U72" s="466">
        <f t="shared" si="30"/>
        <v>3.0869745325651596E-2</v>
      </c>
      <c r="V72" s="167">
        <f t="shared" si="30"/>
        <v>277.3917283950617</v>
      </c>
      <c r="W72" s="167">
        <f t="shared" si="30"/>
        <v>34</v>
      </c>
      <c r="X72" s="167">
        <f t="shared" si="30"/>
        <v>3</v>
      </c>
      <c r="AE72" s="10"/>
      <c r="AF72" s="10"/>
      <c r="AG72" s="10"/>
      <c r="AH72" s="10"/>
      <c r="AI72" s="10"/>
      <c r="AJ72" s="10"/>
      <c r="AK72" s="10"/>
      <c r="AL72" s="10"/>
      <c r="AM72" s="10"/>
      <c r="AN72" s="10"/>
      <c r="AO72" s="10"/>
    </row>
    <row r="73" spans="1:41" ht="13.5" thickBot="1" x14ac:dyDescent="0.35">
      <c r="B73" s="323" t="s">
        <v>200</v>
      </c>
      <c r="C73" s="463">
        <f>2*DEGREES(ASIN(1/SQRT(D72)))</f>
        <v>4.2538685783306756</v>
      </c>
      <c r="D73" s="70" t="s">
        <v>199</v>
      </c>
      <c r="E73" s="693" t="s">
        <v>147</v>
      </c>
      <c r="F73" s="98">
        <f>F72-(1/200)</f>
        <v>0.12972193585307479</v>
      </c>
      <c r="G73" s="1030" t="s">
        <v>3</v>
      </c>
      <c r="H73" s="102">
        <f>IF(E69&gt;0,F73*E69,"")</f>
        <v>3.9539246048017196</v>
      </c>
      <c r="I73" s="70" t="s">
        <v>173</v>
      </c>
      <c r="J73" s="1031"/>
      <c r="K73" s="369" t="s">
        <v>3</v>
      </c>
      <c r="R73" s="167">
        <f t="shared" si="30"/>
        <v>37</v>
      </c>
      <c r="S73" s="167">
        <f t="shared" si="30"/>
        <v>4.9319696191607185E-2</v>
      </c>
      <c r="T73" s="167">
        <f t="shared" si="30"/>
        <v>29.950300925925927</v>
      </c>
      <c r="U73" s="466">
        <f t="shared" si="30"/>
        <v>3.4169687847089965E-2</v>
      </c>
      <c r="V73" s="167">
        <f t="shared" si="30"/>
        <v>281.90060185185183</v>
      </c>
      <c r="W73" s="167">
        <f t="shared" si="30"/>
        <v>37</v>
      </c>
      <c r="X73" s="167">
        <f t="shared" si="30"/>
        <v>3</v>
      </c>
      <c r="AE73" s="10"/>
      <c r="AF73" s="10"/>
      <c r="AG73" s="10"/>
      <c r="AH73" s="10"/>
      <c r="AI73" s="10"/>
      <c r="AJ73" s="10"/>
      <c r="AK73" s="10"/>
      <c r="AL73" s="10"/>
      <c r="AM73" s="10"/>
      <c r="AN73" s="10"/>
      <c r="AO73" s="10"/>
    </row>
    <row r="74" spans="1:41" x14ac:dyDescent="0.25">
      <c r="R74" s="167">
        <f t="shared" si="30"/>
        <v>40</v>
      </c>
      <c r="S74" s="167">
        <f t="shared" si="30"/>
        <v>4.7434164902525687E-2</v>
      </c>
      <c r="T74" s="167">
        <f t="shared" si="30"/>
        <v>25.902962962962963</v>
      </c>
      <c r="U74" s="466">
        <f t="shared" si="30"/>
        <v>3.6742346141747671E-2</v>
      </c>
      <c r="V74" s="167">
        <f t="shared" si="30"/>
        <v>291.80592592592592</v>
      </c>
      <c r="W74" s="167">
        <f t="shared" si="30"/>
        <v>40</v>
      </c>
      <c r="X74" s="167">
        <f t="shared" si="30"/>
        <v>3</v>
      </c>
      <c r="AE74" s="10"/>
      <c r="AF74" s="10"/>
      <c r="AG74" s="10"/>
      <c r="AH74" s="10"/>
      <c r="AI74" s="10"/>
      <c r="AJ74" s="10"/>
      <c r="AK74" s="10"/>
      <c r="AL74" s="10"/>
      <c r="AM74" s="10"/>
      <c r="AN74" s="10"/>
      <c r="AO74" s="10"/>
    </row>
    <row r="75" spans="1:41" ht="13" thickBot="1" x14ac:dyDescent="0.3">
      <c r="R75" s="167">
        <f t="shared" si="30"/>
        <v>43</v>
      </c>
      <c r="S75" s="167">
        <f t="shared" si="30"/>
        <v>4.5749571099781401E-2</v>
      </c>
      <c r="T75" s="167">
        <f t="shared" si="30"/>
        <v>23.204737654320997</v>
      </c>
      <c r="U75" s="466">
        <f t="shared" si="30"/>
        <v>3.8819798353237824E-2</v>
      </c>
      <c r="V75" s="167">
        <f t="shared" si="30"/>
        <v>304.40947530864202</v>
      </c>
      <c r="W75" s="167">
        <f t="shared" si="30"/>
        <v>43</v>
      </c>
      <c r="X75" s="167">
        <f t="shared" si="30"/>
        <v>3</v>
      </c>
      <c r="AE75" s="10"/>
      <c r="AF75" s="10"/>
      <c r="AG75" s="10"/>
      <c r="AH75" s="10"/>
      <c r="AI75" s="10"/>
      <c r="AJ75" s="10"/>
      <c r="AK75" s="10"/>
      <c r="AL75" s="10"/>
      <c r="AM75" s="10"/>
      <c r="AN75" s="10"/>
      <c r="AO75" s="10"/>
    </row>
    <row r="76" spans="1:41" ht="13" x14ac:dyDescent="0.3">
      <c r="A76" s="940">
        <v>7</v>
      </c>
      <c r="B76" s="356" t="s">
        <v>135</v>
      </c>
      <c r="C76" s="357"/>
      <c r="D76" s="357"/>
      <c r="E76" s="357"/>
      <c r="F76" s="357"/>
      <c r="G76" s="357"/>
      <c r="H76" s="358"/>
      <c r="I76" s="371" t="s">
        <v>3</v>
      </c>
      <c r="R76" s="167">
        <f t="shared" si="30"/>
        <v>46</v>
      </c>
      <c r="S76" s="167">
        <f t="shared" si="30"/>
        <v>4.4232586846469135E-2</v>
      </c>
      <c r="T76" s="167">
        <f t="shared" si="30"/>
        <v>21.27743386243386</v>
      </c>
      <c r="U76" s="466">
        <f t="shared" si="30"/>
        <v>4.0539835481530576E-2</v>
      </c>
      <c r="V76" s="167">
        <f t="shared" si="30"/>
        <v>318.55486772486773</v>
      </c>
      <c r="W76" s="167">
        <f t="shared" si="30"/>
        <v>46</v>
      </c>
      <c r="X76" s="167">
        <f t="shared" si="30"/>
        <v>3</v>
      </c>
      <c r="AE76" s="10"/>
      <c r="AF76" s="10"/>
      <c r="AG76" s="10"/>
      <c r="AH76" s="10"/>
      <c r="AI76" s="10"/>
      <c r="AJ76" s="10"/>
      <c r="AK76" s="10"/>
      <c r="AL76" s="10"/>
      <c r="AM76" s="10"/>
      <c r="AN76" s="10"/>
      <c r="AO76" s="10"/>
    </row>
    <row r="77" spans="1:41" x14ac:dyDescent="0.25">
      <c r="B77" s="375" t="s">
        <v>201</v>
      </c>
      <c r="C77" s="359"/>
      <c r="D77" s="359"/>
      <c r="E77" s="359"/>
      <c r="F77" s="359"/>
      <c r="G77" s="359" t="s">
        <v>78</v>
      </c>
      <c r="H77" s="360"/>
      <c r="R77" s="167">
        <f t="shared" ref="R77:X81" si="31">J20</f>
        <v>49</v>
      </c>
      <c r="S77" s="167">
        <f t="shared" si="31"/>
        <v>4.2857142857142858E-2</v>
      </c>
      <c r="T77" s="167">
        <f t="shared" si="31"/>
        <v>19.831956018518522</v>
      </c>
      <c r="U77" s="466">
        <f t="shared" si="31"/>
        <v>4.199125273342591E-2</v>
      </c>
      <c r="V77" s="167">
        <f t="shared" si="31"/>
        <v>333.66391203703705</v>
      </c>
      <c r="W77" s="167">
        <f t="shared" si="31"/>
        <v>49</v>
      </c>
      <c r="X77" s="167">
        <f t="shared" si="31"/>
        <v>3</v>
      </c>
      <c r="AE77" s="10"/>
      <c r="AF77" s="10"/>
      <c r="AG77" s="10"/>
      <c r="AH77" s="10"/>
      <c r="AI77" s="10"/>
      <c r="AJ77" s="10"/>
      <c r="AK77" s="10"/>
      <c r="AL77" s="10"/>
      <c r="AM77" s="10"/>
      <c r="AN77" s="10"/>
      <c r="AO77" s="10"/>
    </row>
    <row r="78" spans="1:41" ht="13" x14ac:dyDescent="0.3">
      <c r="B78" s="365" t="s">
        <v>185</v>
      </c>
      <c r="C78" s="1046">
        <v>7.8E-2</v>
      </c>
      <c r="D78" s="361" t="s">
        <v>79</v>
      </c>
      <c r="E78" s="938">
        <v>30</v>
      </c>
      <c r="F78" s="361" t="s">
        <v>80</v>
      </c>
      <c r="G78" s="364">
        <f>(C78*SQRT(E78))</f>
        <v>0.42722359485402955</v>
      </c>
      <c r="H78" s="360" t="s">
        <v>81</v>
      </c>
      <c r="R78" s="167">
        <f t="shared" si="31"/>
        <v>52</v>
      </c>
      <c r="S78" s="167">
        <f t="shared" si="31"/>
        <v>4.1602514716892185E-2</v>
      </c>
      <c r="T78" s="167">
        <f t="shared" si="31"/>
        <v>18.707695473251029</v>
      </c>
      <c r="U78" s="466">
        <f t="shared" si="31"/>
        <v>4.3234601527373524E-2</v>
      </c>
      <c r="V78" s="167">
        <f t="shared" si="31"/>
        <v>349.41539094650204</v>
      </c>
      <c r="W78" s="167">
        <f t="shared" si="31"/>
        <v>52</v>
      </c>
      <c r="X78" s="167">
        <f t="shared" si="31"/>
        <v>3</v>
      </c>
      <c r="AE78" s="10"/>
      <c r="AF78" s="10"/>
      <c r="AG78" s="10"/>
      <c r="AH78" s="10"/>
      <c r="AI78" s="10"/>
      <c r="AJ78" s="10"/>
      <c r="AK78" s="10"/>
      <c r="AL78" s="10"/>
      <c r="AM78" s="10"/>
      <c r="AN78" s="10"/>
      <c r="AO78" s="10"/>
    </row>
    <row r="79" spans="1:41" ht="13" x14ac:dyDescent="0.3">
      <c r="B79" s="365" t="s">
        <v>186</v>
      </c>
      <c r="C79" s="382">
        <f>SQRT(C80^2-C78^2)</f>
        <v>2.5298221281347049E-2</v>
      </c>
      <c r="D79" s="361" t="s">
        <v>128</v>
      </c>
      <c r="E79" s="938">
        <v>120</v>
      </c>
      <c r="F79" s="362" t="s">
        <v>82</v>
      </c>
      <c r="G79" s="364">
        <f>SQRT((C80^2)-C78^2)*(SQRT(E79))</f>
        <v>0.27712812921102054</v>
      </c>
      <c r="H79" s="360" t="s">
        <v>81</v>
      </c>
      <c r="R79" s="167">
        <f t="shared" si="31"/>
        <v>55</v>
      </c>
      <c r="S79" s="167">
        <f t="shared" si="31"/>
        <v>4.045199174779452E-2</v>
      </c>
      <c r="T79" s="167">
        <f t="shared" si="31"/>
        <v>17.808287037037033</v>
      </c>
      <c r="U79" s="466">
        <f t="shared" si="31"/>
        <v>4.4312936752559789E-2</v>
      </c>
      <c r="V79" s="167">
        <f t="shared" si="31"/>
        <v>365.61657407407404</v>
      </c>
      <c r="W79" s="167">
        <f t="shared" si="31"/>
        <v>55</v>
      </c>
      <c r="X79" s="167">
        <f t="shared" si="31"/>
        <v>3</v>
      </c>
      <c r="AE79" s="10"/>
      <c r="AF79" s="10"/>
      <c r="AG79" s="10"/>
      <c r="AH79" s="10"/>
      <c r="AI79" s="10"/>
      <c r="AJ79" s="10"/>
      <c r="AK79" s="10"/>
      <c r="AL79" s="10"/>
      <c r="AM79" s="10"/>
      <c r="AN79" s="10"/>
      <c r="AO79" s="10"/>
    </row>
    <row r="80" spans="1:41" ht="13" thickBot="1" x14ac:dyDescent="0.3">
      <c r="B80" s="366" t="s">
        <v>187</v>
      </c>
      <c r="C80" s="1047">
        <v>8.2000000000000003E-2</v>
      </c>
      <c r="D80" s="363"/>
      <c r="E80" s="363"/>
      <c r="F80" s="363"/>
      <c r="G80" s="363"/>
      <c r="H80" s="144"/>
      <c r="R80" s="167">
        <f t="shared" si="31"/>
        <v>58</v>
      </c>
      <c r="S80" s="167">
        <f t="shared" si="31"/>
        <v>3.9391929857916765E-2</v>
      </c>
      <c r="T80" s="167">
        <f t="shared" si="31"/>
        <v>17.072407407407404</v>
      </c>
      <c r="U80" s="466">
        <f t="shared" si="31"/>
        <v>4.5257881767366948E-2</v>
      </c>
      <c r="V80" s="167">
        <f t="shared" si="31"/>
        <v>382.14481481481482</v>
      </c>
      <c r="W80" s="167">
        <f t="shared" si="31"/>
        <v>58</v>
      </c>
      <c r="X80" s="167">
        <f t="shared" si="31"/>
        <v>3</v>
      </c>
      <c r="AE80" s="10"/>
      <c r="AF80" s="10"/>
      <c r="AG80" s="10"/>
      <c r="AH80" s="10"/>
      <c r="AI80" s="10"/>
      <c r="AJ80" s="10"/>
      <c r="AK80" s="10"/>
      <c r="AL80" s="10"/>
      <c r="AM80" s="10"/>
      <c r="AN80" s="10"/>
      <c r="AO80" s="10"/>
    </row>
    <row r="81" spans="1:41" ht="13" thickBot="1" x14ac:dyDescent="0.3">
      <c r="R81" s="167">
        <f t="shared" si="31"/>
        <v>61</v>
      </c>
      <c r="S81" s="167">
        <f t="shared" si="31"/>
        <v>3.8411063979868793E-2</v>
      </c>
      <c r="T81" s="167">
        <f t="shared" si="31"/>
        <v>16.45917438271605</v>
      </c>
      <c r="U81" s="466">
        <f t="shared" si="31"/>
        <v>4.6093276775842545E-2</v>
      </c>
      <c r="V81" s="167">
        <f t="shared" si="31"/>
        <v>398.91834876543209</v>
      </c>
      <c r="W81" s="167">
        <f t="shared" si="31"/>
        <v>61</v>
      </c>
      <c r="X81" s="167">
        <f t="shared" si="31"/>
        <v>3</v>
      </c>
      <c r="AE81" s="10"/>
      <c r="AF81" s="10"/>
      <c r="AG81" s="10"/>
      <c r="AH81" s="10"/>
      <c r="AI81" s="10"/>
      <c r="AJ81" s="10"/>
      <c r="AK81" s="10"/>
      <c r="AL81" s="10"/>
      <c r="AM81" s="10"/>
      <c r="AN81" s="10"/>
      <c r="AO81" s="10"/>
    </row>
    <row r="82" spans="1:41" ht="14" thickTop="1" thickBot="1" x14ac:dyDescent="0.35">
      <c r="A82" s="940">
        <v>8</v>
      </c>
      <c r="B82" s="1048" t="s">
        <v>223</v>
      </c>
      <c r="C82" s="1049"/>
      <c r="D82" s="1049"/>
      <c r="E82" s="1049"/>
      <c r="F82" s="1049"/>
      <c r="G82" s="1049"/>
      <c r="H82" s="1049"/>
      <c r="I82" s="1050"/>
      <c r="AE82" s="10"/>
      <c r="AF82" s="10"/>
      <c r="AG82" s="10"/>
      <c r="AH82" s="10"/>
      <c r="AI82" s="10"/>
      <c r="AJ82" s="10"/>
      <c r="AK82" s="10"/>
      <c r="AL82" s="10"/>
      <c r="AM82" s="10"/>
      <c r="AN82" s="10"/>
      <c r="AO82" s="10"/>
    </row>
    <row r="83" spans="1:41" ht="13" thickTop="1" x14ac:dyDescent="0.25">
      <c r="B83" s="1051"/>
      <c r="C83" s="1052" t="s">
        <v>0</v>
      </c>
      <c r="D83" s="1052"/>
      <c r="E83" s="1052" t="s">
        <v>1</v>
      </c>
      <c r="F83" s="1052"/>
      <c r="G83" s="1052"/>
      <c r="H83" s="1052" t="s">
        <v>2</v>
      </c>
      <c r="I83" s="1053"/>
      <c r="K83" s="11"/>
      <c r="L83" s="11"/>
      <c r="M83" s="11"/>
      <c r="N83" s="11"/>
      <c r="O83" s="11"/>
      <c r="AE83" s="10"/>
      <c r="AF83" s="10"/>
      <c r="AG83" s="10"/>
      <c r="AH83" s="10"/>
      <c r="AI83" s="10"/>
      <c r="AJ83" s="10"/>
      <c r="AK83" s="10"/>
      <c r="AL83" s="10"/>
      <c r="AM83" s="10"/>
      <c r="AN83" s="10"/>
      <c r="AO83" s="10"/>
    </row>
    <row r="84" spans="1:41" x14ac:dyDescent="0.25">
      <c r="B84" s="385" t="s">
        <v>202</v>
      </c>
      <c r="C84" s="1054">
        <f>C3</f>
        <v>0.3</v>
      </c>
      <c r="D84" s="342" t="s">
        <v>3</v>
      </c>
      <c r="E84" s="1055">
        <f>E3</f>
        <v>6</v>
      </c>
      <c r="F84" s="342" t="s">
        <v>4</v>
      </c>
      <c r="G84" s="342"/>
      <c r="H84" s="1056">
        <f t="shared" ref="H84:I87" si="32">H3</f>
        <v>0</v>
      </c>
      <c r="I84" s="1057" t="str">
        <f t="shared" si="32"/>
        <v>cost #1, perhaps travel to plot</v>
      </c>
      <c r="K84" s="11"/>
      <c r="L84" s="11"/>
      <c r="M84" s="11"/>
      <c r="N84" s="11"/>
      <c r="O84" s="11"/>
      <c r="AE84" s="10"/>
      <c r="AF84" s="10"/>
      <c r="AG84" s="10"/>
      <c r="AH84" s="10"/>
      <c r="AI84" s="10"/>
      <c r="AJ84" s="10"/>
      <c r="AK84" s="10"/>
      <c r="AL84" s="10"/>
      <c r="AM84" s="10"/>
      <c r="AN84" s="10"/>
      <c r="AO84" s="10"/>
    </row>
    <row r="85" spans="1:41" x14ac:dyDescent="0.25">
      <c r="B85" s="341"/>
      <c r="C85" s="342"/>
      <c r="D85" s="342"/>
      <c r="E85" s="342" t="s">
        <v>3</v>
      </c>
      <c r="F85" s="342"/>
      <c r="G85" s="342"/>
      <c r="H85" s="1056">
        <f t="shared" si="32"/>
        <v>0</v>
      </c>
      <c r="I85" s="1057" t="str">
        <f t="shared" si="32"/>
        <v>cost #2, other costs PER plot</v>
      </c>
      <c r="K85" s="11"/>
      <c r="L85" s="11"/>
      <c r="M85" s="11"/>
      <c r="N85" s="11"/>
      <c r="O85" s="11"/>
      <c r="AE85" s="10"/>
      <c r="AF85" s="10"/>
      <c r="AG85" s="10"/>
      <c r="AH85" s="10"/>
      <c r="AI85" s="10"/>
      <c r="AJ85" s="10"/>
      <c r="AK85" s="10"/>
      <c r="AL85" s="10"/>
      <c r="AM85" s="10"/>
      <c r="AN85" s="10"/>
      <c r="AO85" s="10"/>
    </row>
    <row r="86" spans="1:41" ht="13" thickBot="1" x14ac:dyDescent="0.3">
      <c r="A86" s="5"/>
      <c r="B86" s="386" t="s">
        <v>203</v>
      </c>
      <c r="C86" s="1054">
        <f>C5</f>
        <v>0.187</v>
      </c>
      <c r="D86" s="342" t="s">
        <v>3</v>
      </c>
      <c r="E86" s="1055">
        <f>E5</f>
        <v>2</v>
      </c>
      <c r="F86" s="342" t="s">
        <v>5</v>
      </c>
      <c r="G86" s="342"/>
      <c r="H86" s="1058">
        <f t="shared" si="32"/>
        <v>0</v>
      </c>
      <c r="I86" s="1057" t="str">
        <f t="shared" si="32"/>
        <v>cost #3</v>
      </c>
      <c r="K86" s="11"/>
      <c r="L86" s="11"/>
      <c r="M86" s="11"/>
      <c r="N86" s="11"/>
      <c r="O86" s="11"/>
      <c r="AE86" s="10"/>
      <c r="AF86" s="10"/>
      <c r="AG86" s="10"/>
      <c r="AH86" s="10"/>
      <c r="AI86" s="10"/>
      <c r="AJ86" s="10"/>
      <c r="AK86" s="10"/>
      <c r="AL86" s="10"/>
      <c r="AM86" s="10"/>
      <c r="AN86" s="10"/>
      <c r="AO86" s="10"/>
    </row>
    <row r="87" spans="1:41" ht="13.5" thickTop="1" thickBot="1" x14ac:dyDescent="0.3">
      <c r="A87" s="5"/>
      <c r="B87" s="341" t="s">
        <v>3</v>
      </c>
      <c r="C87" s="342" t="s">
        <v>3</v>
      </c>
      <c r="D87" s="342" t="s">
        <v>3</v>
      </c>
      <c r="E87" s="342" t="s">
        <v>3</v>
      </c>
      <c r="F87" s="344" t="s">
        <v>3</v>
      </c>
      <c r="G87" s="342" t="s">
        <v>3</v>
      </c>
      <c r="H87" s="345">
        <f t="shared" si="32"/>
        <v>0</v>
      </c>
      <c r="I87" s="1059" t="str">
        <f t="shared" si="32"/>
        <v>= total</v>
      </c>
      <c r="K87" s="11"/>
      <c r="L87" s="11"/>
      <c r="M87" s="11"/>
      <c r="N87" s="11"/>
      <c r="O87" s="11"/>
      <c r="AE87" s="10"/>
      <c r="AF87" s="10"/>
      <c r="AG87" s="10"/>
      <c r="AH87" s="10"/>
      <c r="AI87" s="10"/>
      <c r="AJ87" s="10"/>
      <c r="AK87" s="10"/>
      <c r="AL87" s="10"/>
      <c r="AM87" s="10"/>
      <c r="AN87" s="10"/>
      <c r="AO87" s="10"/>
    </row>
    <row r="88" spans="1:41" ht="13.5" thickBot="1" x14ac:dyDescent="0.35">
      <c r="A88" s="5"/>
      <c r="B88" s="341"/>
      <c r="C88" s="342"/>
      <c r="D88" s="346" t="s">
        <v>179</v>
      </c>
      <c r="E88" s="1060">
        <f>C15/C16</f>
        <v>0.4</v>
      </c>
      <c r="F88" s="342" t="s">
        <v>113</v>
      </c>
      <c r="G88" s="342"/>
      <c r="H88" s="342"/>
      <c r="I88" s="1061"/>
      <c r="AE88" s="10"/>
      <c r="AF88" s="10"/>
      <c r="AG88" s="10"/>
      <c r="AH88" s="10"/>
      <c r="AI88" s="10"/>
      <c r="AJ88" s="10"/>
      <c r="AK88" s="10"/>
      <c r="AL88" s="10"/>
      <c r="AM88" s="10"/>
      <c r="AN88" s="10"/>
      <c r="AO88" s="10"/>
    </row>
    <row r="89" spans="1:41" ht="13" x14ac:dyDescent="0.3">
      <c r="A89" s="5"/>
      <c r="B89" s="341"/>
      <c r="C89" s="342"/>
      <c r="D89" s="342"/>
      <c r="E89" s="1062"/>
      <c r="F89" s="45"/>
      <c r="G89" s="347" t="s">
        <v>324</v>
      </c>
      <c r="H89" s="1062">
        <f>C15</f>
        <v>40</v>
      </c>
      <c r="I89" s="1061"/>
      <c r="AE89" s="10"/>
      <c r="AF89" s="10"/>
      <c r="AG89" s="10"/>
      <c r="AH89" s="10"/>
      <c r="AI89" s="10"/>
      <c r="AJ89" s="10"/>
      <c r="AK89" s="10"/>
      <c r="AL89" s="10"/>
      <c r="AM89" s="10"/>
      <c r="AN89" s="10"/>
      <c r="AO89" s="10"/>
    </row>
    <row r="90" spans="1:41" ht="13" x14ac:dyDescent="0.3">
      <c r="A90" s="5"/>
      <c r="B90" s="343" t="s">
        <v>7</v>
      </c>
      <c r="C90" s="342"/>
      <c r="D90" s="1063">
        <f>D9</f>
        <v>0.06</v>
      </c>
      <c r="E90" s="342" t="s">
        <v>3</v>
      </c>
      <c r="F90" s="342"/>
      <c r="G90" s="347" t="s">
        <v>180</v>
      </c>
      <c r="H90" s="1062">
        <f>C16</f>
        <v>100</v>
      </c>
      <c r="I90" s="1061"/>
      <c r="AE90" s="10"/>
      <c r="AF90" s="10"/>
      <c r="AG90" s="10"/>
      <c r="AH90" s="10"/>
      <c r="AI90" s="10"/>
      <c r="AJ90" s="10"/>
      <c r="AK90" s="10"/>
      <c r="AL90" s="10"/>
      <c r="AM90" s="10"/>
      <c r="AN90" s="10"/>
      <c r="AO90" s="10"/>
    </row>
    <row r="91" spans="1:41" x14ac:dyDescent="0.25">
      <c r="A91" s="5"/>
      <c r="B91" s="341" t="s">
        <v>3</v>
      </c>
      <c r="C91" s="342"/>
      <c r="D91" s="342"/>
      <c r="E91" s="342"/>
      <c r="F91" s="342"/>
      <c r="G91" s="342"/>
      <c r="H91" s="342"/>
      <c r="I91" s="1061"/>
      <c r="AE91" s="10"/>
      <c r="AF91" s="10"/>
      <c r="AG91" s="10"/>
      <c r="AH91" s="10"/>
      <c r="AI91" s="10"/>
      <c r="AJ91" s="10"/>
      <c r="AK91" s="10"/>
      <c r="AL91" s="10"/>
      <c r="AM91" s="10"/>
      <c r="AN91" s="10"/>
      <c r="AO91" s="10"/>
    </row>
    <row r="92" spans="1:41" ht="13" x14ac:dyDescent="0.3">
      <c r="A92" s="5"/>
      <c r="B92" s="348" t="s">
        <v>8</v>
      </c>
      <c r="C92" s="349">
        <f>(C93*E88)</f>
        <v>28.885444444444445</v>
      </c>
      <c r="D92" s="350" t="s">
        <v>9</v>
      </c>
      <c r="E92" s="1064">
        <f>(C84/(SQRT(C92)))</f>
        <v>5.5818958333009691E-2</v>
      </c>
      <c r="F92" s="347" t="s">
        <v>10</v>
      </c>
      <c r="G92" s="352">
        <f>(C92*E84)+(C93*E86)+H84+H85+H86</f>
        <v>317.73988888888891</v>
      </c>
      <c r="H92" s="347"/>
      <c r="I92" s="353"/>
      <c r="AE92" s="10"/>
      <c r="AF92" s="10"/>
      <c r="AG92" s="10"/>
      <c r="AH92" s="10"/>
      <c r="AI92" s="10"/>
      <c r="AJ92" s="10"/>
      <c r="AK92" s="10"/>
      <c r="AL92" s="10"/>
      <c r="AM92" s="10"/>
      <c r="AN92" s="10"/>
      <c r="AO92" s="10"/>
    </row>
    <row r="93" spans="1:41" ht="13.5" thickBot="1" x14ac:dyDescent="0.35">
      <c r="A93" s="5"/>
      <c r="B93" s="348" t="s">
        <v>12</v>
      </c>
      <c r="C93" s="349">
        <f>((C84*C84)+(C86*C86*E88))/(D90*D90*E88)</f>
        <v>72.213611111111106</v>
      </c>
      <c r="D93" s="350" t="s">
        <v>13</v>
      </c>
      <c r="E93" s="1065">
        <f>(C86/(SQRT(C93)))</f>
        <v>2.2005542270476488E-2</v>
      </c>
      <c r="F93" s="342"/>
      <c r="G93" s="342"/>
      <c r="H93" s="354"/>
      <c r="I93" s="1066"/>
      <c r="AE93" s="10"/>
      <c r="AF93" s="10"/>
      <c r="AG93" s="10"/>
      <c r="AH93" s="10"/>
      <c r="AI93" s="10"/>
      <c r="AJ93" s="10"/>
      <c r="AK93" s="10"/>
      <c r="AL93" s="10"/>
      <c r="AM93" s="10"/>
      <c r="AN93" s="10"/>
      <c r="AO93" s="10"/>
    </row>
    <row r="94" spans="1:41" ht="13.5" thickTop="1" thickBot="1" x14ac:dyDescent="0.3">
      <c r="A94" s="5"/>
      <c r="B94" s="388"/>
      <c r="C94" s="389"/>
      <c r="D94" s="390" t="s">
        <v>141</v>
      </c>
      <c r="E94" s="1067">
        <f>SQRT(E93^2+E92^2)</f>
        <v>0.06</v>
      </c>
      <c r="F94" s="389"/>
      <c r="G94" s="389"/>
      <c r="H94" s="389"/>
      <c r="I94" s="1068"/>
      <c r="N94" s="36"/>
      <c r="O94" s="36"/>
      <c r="P94" s="36"/>
      <c r="Q94" s="36"/>
      <c r="AE94" s="10"/>
      <c r="AF94" s="10"/>
      <c r="AG94" s="10"/>
      <c r="AH94" s="10"/>
      <c r="AI94" s="10"/>
      <c r="AJ94" s="10"/>
      <c r="AK94" s="10"/>
      <c r="AL94" s="10"/>
      <c r="AM94" s="10"/>
      <c r="AN94" s="10"/>
      <c r="AO94" s="10"/>
    </row>
    <row r="95" spans="1:41" x14ac:dyDescent="0.25">
      <c r="N95" s="36"/>
      <c r="O95" s="36"/>
      <c r="P95" s="36"/>
      <c r="Q95" s="36"/>
      <c r="AE95" s="10"/>
      <c r="AF95" s="10"/>
      <c r="AG95" s="10"/>
      <c r="AH95" s="10"/>
      <c r="AI95" s="10"/>
      <c r="AJ95" s="10"/>
      <c r="AK95" s="10"/>
      <c r="AL95" s="10"/>
      <c r="AM95" s="10"/>
      <c r="AN95" s="10"/>
      <c r="AO95" s="10"/>
    </row>
    <row r="96" spans="1:41" ht="13" x14ac:dyDescent="0.3">
      <c r="A96" s="940">
        <v>9</v>
      </c>
      <c r="B96" s="403" t="s">
        <v>218</v>
      </c>
      <c r="C96" s="404"/>
      <c r="D96" s="400"/>
      <c r="E96" s="407" t="s">
        <v>216</v>
      </c>
      <c r="F96" s="587">
        <v>20</v>
      </c>
      <c r="G96" s="400"/>
      <c r="H96" s="400"/>
      <c r="I96" s="401"/>
      <c r="N96" s="36"/>
      <c r="O96" s="36"/>
      <c r="P96" s="36"/>
      <c r="Q96" s="36"/>
      <c r="AE96" s="10"/>
      <c r="AF96" s="10"/>
      <c r="AG96" s="10"/>
      <c r="AH96" s="10"/>
      <c r="AI96" s="10"/>
      <c r="AJ96" s="10"/>
      <c r="AK96" s="10"/>
      <c r="AL96" s="10"/>
      <c r="AM96" s="10"/>
      <c r="AN96" s="10"/>
      <c r="AO96" s="10"/>
    </row>
    <row r="97" spans="1:45" ht="13" x14ac:dyDescent="0.3">
      <c r="B97" s="405" t="s">
        <v>217</v>
      </c>
      <c r="C97" s="406"/>
      <c r="D97" s="402"/>
      <c r="E97" s="408" t="s">
        <v>214</v>
      </c>
      <c r="F97" s="588">
        <v>30</v>
      </c>
      <c r="G97" s="402"/>
      <c r="H97" s="408" t="s">
        <v>215</v>
      </c>
      <c r="I97" s="399">
        <f>(SQRT(F96)+SQRT(F97))^2</f>
        <v>98.98979485566359</v>
      </c>
      <c r="N97" s="36"/>
      <c r="O97" s="36"/>
      <c r="P97" s="36"/>
      <c r="Q97" s="36"/>
      <c r="AE97" s="10"/>
      <c r="AF97" s="10"/>
      <c r="AG97" s="10"/>
      <c r="AH97" s="10"/>
      <c r="AI97" s="10"/>
      <c r="AJ97" s="10"/>
      <c r="AK97" s="10"/>
      <c r="AL97" s="10"/>
      <c r="AM97" s="10"/>
      <c r="AN97" s="10"/>
      <c r="AO97" s="10"/>
    </row>
    <row r="98" spans="1:45" x14ac:dyDescent="0.25">
      <c r="N98" s="36"/>
      <c r="O98" s="36"/>
      <c r="P98" s="36"/>
      <c r="Q98" s="36"/>
      <c r="AE98" s="10"/>
      <c r="AF98" s="10"/>
      <c r="AG98" s="10"/>
      <c r="AH98" s="10"/>
      <c r="AI98" s="10"/>
      <c r="AJ98" s="10"/>
      <c r="AK98" s="10"/>
      <c r="AL98" s="10"/>
      <c r="AM98" s="10"/>
      <c r="AN98" s="10"/>
      <c r="AO98" s="10"/>
    </row>
    <row r="99" spans="1:45" x14ac:dyDescent="0.25">
      <c r="N99" s="36"/>
      <c r="O99" s="36"/>
      <c r="P99" s="36"/>
      <c r="Q99" s="36"/>
      <c r="AE99" s="10"/>
      <c r="AF99" s="10"/>
      <c r="AG99" s="10"/>
      <c r="AH99" s="10"/>
      <c r="AI99" s="10"/>
      <c r="AJ99" s="10"/>
      <c r="AK99" s="10"/>
      <c r="AL99" s="10"/>
      <c r="AM99" s="10"/>
      <c r="AN99" s="10"/>
      <c r="AO99" s="10"/>
    </row>
    <row r="100" spans="1:45" s="24" customFormat="1" x14ac:dyDescent="0.25">
      <c r="A100" s="451"/>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row>
    <row r="101" spans="1:45" ht="13" x14ac:dyDescent="0.3">
      <c r="D101" s="212" t="s">
        <v>325</v>
      </c>
      <c r="AE101" s="10"/>
      <c r="AF101" s="10"/>
      <c r="AG101" s="10"/>
      <c r="AH101" s="10"/>
      <c r="AI101" s="10"/>
      <c r="AJ101" s="10"/>
      <c r="AK101" s="10"/>
      <c r="AL101" s="10"/>
      <c r="AM101" s="10"/>
      <c r="AN101" s="10"/>
      <c r="AO101" s="10"/>
    </row>
    <row r="102" spans="1:45" ht="13" thickBot="1" x14ac:dyDescent="0.3">
      <c r="B102" s="11" t="s">
        <v>3</v>
      </c>
      <c r="G102" s="11" t="s">
        <v>3</v>
      </c>
      <c r="AE102" s="10"/>
      <c r="AF102" s="10"/>
      <c r="AG102" s="10"/>
      <c r="AH102" s="10"/>
      <c r="AI102" s="10"/>
      <c r="AJ102" s="10"/>
      <c r="AK102" s="10"/>
      <c r="AL102" s="10"/>
      <c r="AM102" s="10"/>
      <c r="AN102" s="10"/>
      <c r="AO102" s="10"/>
    </row>
    <row r="103" spans="1:45" ht="14" thickTop="1" thickBot="1" x14ac:dyDescent="0.35">
      <c r="A103" s="449">
        <f>A1</f>
        <v>1</v>
      </c>
      <c r="B103" s="1069" t="str">
        <f>B1</f>
        <v xml:space="preserve">                        Optimum Calculation of TC vs. *BAR plots  : version : July, 2023</v>
      </c>
      <c r="C103" s="1070"/>
      <c r="D103" s="1070"/>
      <c r="E103" s="1070"/>
      <c r="F103" s="1070"/>
      <c r="G103" s="1070"/>
      <c r="H103" s="1070"/>
      <c r="I103" s="1071"/>
      <c r="AE103" s="10"/>
      <c r="AF103" s="10"/>
      <c r="AG103" s="10"/>
      <c r="AH103" s="10"/>
      <c r="AI103" s="10"/>
      <c r="AJ103" s="10"/>
      <c r="AK103" s="10"/>
      <c r="AL103" s="10"/>
      <c r="AM103" s="10"/>
      <c r="AN103" s="10"/>
      <c r="AO103" s="10"/>
    </row>
    <row r="104" spans="1:45" ht="13" x14ac:dyDescent="0.3">
      <c r="B104" s="1072"/>
      <c r="C104" s="214" t="s">
        <v>0</v>
      </c>
      <c r="D104" s="215"/>
      <c r="E104" s="214" t="str">
        <f>E2</f>
        <v xml:space="preserve">   Measurement Costs</v>
      </c>
      <c r="F104" s="215"/>
      <c r="G104" s="215"/>
      <c r="H104" s="214" t="str">
        <f>H2</f>
        <v xml:space="preserve">  Fixed costs:</v>
      </c>
      <c r="I104" s="216"/>
      <c r="AE104" s="10"/>
      <c r="AF104" s="10"/>
      <c r="AG104" s="10"/>
      <c r="AH104" s="10"/>
      <c r="AI104" s="10"/>
      <c r="AJ104" s="10"/>
      <c r="AK104" s="10"/>
      <c r="AL104" s="10"/>
      <c r="AM104" s="10"/>
      <c r="AN104" s="10"/>
      <c r="AO104" s="10"/>
    </row>
    <row r="105" spans="1:45" ht="13" x14ac:dyDescent="0.3">
      <c r="B105" s="229" t="str">
        <f>B3</f>
        <v xml:space="preserve">        CV(TC)</v>
      </c>
      <c r="C105" s="564">
        <f>C3</f>
        <v>0.3</v>
      </c>
      <c r="D105" s="37" t="s">
        <v>3</v>
      </c>
      <c r="E105" s="1073">
        <f>E3</f>
        <v>6</v>
      </c>
      <c r="F105" s="37" t="str">
        <f>F3</f>
        <v xml:space="preserve">= Cost (TC) </v>
      </c>
      <c r="G105" s="37"/>
      <c r="H105" s="1074">
        <f>H3</f>
        <v>0</v>
      </c>
      <c r="I105" s="1075" t="str">
        <f>I3</f>
        <v>cost #1, perhaps travel to plot</v>
      </c>
    </row>
    <row r="106" spans="1:45" ht="13" x14ac:dyDescent="0.3">
      <c r="B106" s="224"/>
      <c r="C106" s="37"/>
      <c r="D106" s="37"/>
      <c r="E106" s="37" t="s">
        <v>3</v>
      </c>
      <c r="F106" s="37"/>
      <c r="G106" s="37"/>
      <c r="H106" s="1074">
        <f>H4</f>
        <v>0</v>
      </c>
      <c r="I106" s="1075" t="str">
        <f>I4</f>
        <v>cost #2, other costs PER plot</v>
      </c>
    </row>
    <row r="107" spans="1:45" ht="13.5" thickBot="1" x14ac:dyDescent="0.35">
      <c r="B107" s="227" t="str">
        <f>B5</f>
        <v xml:space="preserve">         CV(*BAR)</v>
      </c>
      <c r="C107" s="564">
        <f>C5</f>
        <v>0.187</v>
      </c>
      <c r="D107" s="37" t="s">
        <v>3</v>
      </c>
      <c r="E107" s="1073">
        <f>E5</f>
        <v>2</v>
      </c>
      <c r="F107" s="37" t="str">
        <f>F5</f>
        <v xml:space="preserve">= Cost (*BAR) </v>
      </c>
      <c r="G107" s="37"/>
      <c r="H107" s="1076">
        <f>H5</f>
        <v>0</v>
      </c>
      <c r="I107" s="1075" t="str">
        <f>I5</f>
        <v>cost #3</v>
      </c>
    </row>
    <row r="108" spans="1:45" ht="13" thickTop="1" x14ac:dyDescent="0.25">
      <c r="B108" s="224" t="s">
        <v>3</v>
      </c>
      <c r="C108" s="37" t="s">
        <v>3</v>
      </c>
      <c r="D108" s="37" t="s">
        <v>3</v>
      </c>
      <c r="E108" s="37" t="s">
        <v>3</v>
      </c>
      <c r="F108" s="217" t="s">
        <v>3</v>
      </c>
      <c r="G108" s="37" t="s">
        <v>3</v>
      </c>
      <c r="H108" s="172">
        <f>H6</f>
        <v>0</v>
      </c>
      <c r="I108" s="1077" t="s">
        <v>88</v>
      </c>
    </row>
    <row r="109" spans="1:45" ht="13" x14ac:dyDescent="0.3">
      <c r="B109" s="228"/>
      <c r="C109" s="37"/>
      <c r="D109" s="218" t="str">
        <f t="shared" ref="D109:F110" si="33">D7</f>
        <v xml:space="preserve">     Ratio for lowest cost answer ==&gt;</v>
      </c>
      <c r="E109" s="166">
        <f t="shared" si="33"/>
        <v>0.92623037837907884</v>
      </c>
      <c r="F109" s="37" t="str">
        <f t="shared" si="33"/>
        <v xml:space="preserve"> TC per *BAR</v>
      </c>
      <c r="G109" s="37"/>
      <c r="H109" s="37"/>
      <c r="I109" s="221" t="s">
        <v>3</v>
      </c>
    </row>
    <row r="110" spans="1:45" x14ac:dyDescent="0.25">
      <c r="B110" s="228"/>
      <c r="C110" s="37"/>
      <c r="D110" s="37" t="str">
        <f t="shared" si="33"/>
        <v>which is =&gt;</v>
      </c>
      <c r="E110" s="167">
        <f t="shared" si="33"/>
        <v>1.0796450033846001</v>
      </c>
      <c r="F110" s="37" t="str">
        <f t="shared" si="33"/>
        <v xml:space="preserve"> *BAR /TC</v>
      </c>
      <c r="G110" s="67"/>
      <c r="H110" s="218" t="str">
        <f t="shared" ref="H110:I114" si="34">H8</f>
        <v xml:space="preserve">    "Big BAF" Multiplier =</v>
      </c>
      <c r="I110" s="1078">
        <f t="shared" si="34"/>
        <v>5.5573822702744735</v>
      </c>
    </row>
    <row r="111" spans="1:45" ht="13" x14ac:dyDescent="0.3">
      <c r="B111" s="227"/>
      <c r="C111" s="398" t="str">
        <f>C9</f>
        <v xml:space="preserve">  Desired SEc% (Total)==&gt;</v>
      </c>
      <c r="D111" s="564">
        <f>D9</f>
        <v>0.06</v>
      </c>
      <c r="E111" s="37" t="s">
        <v>3</v>
      </c>
      <c r="F111" s="37"/>
      <c r="G111" s="37" t="s">
        <v>3</v>
      </c>
      <c r="I111" s="221" t="s">
        <v>3</v>
      </c>
    </row>
    <row r="112" spans="1:45" x14ac:dyDescent="0.25">
      <c r="B112" s="224" t="s">
        <v>3</v>
      </c>
      <c r="C112" s="37"/>
      <c r="D112" s="37"/>
      <c r="E112" s="37"/>
      <c r="F112" s="37"/>
      <c r="G112" s="37"/>
      <c r="I112" s="221" t="s">
        <v>3</v>
      </c>
    </row>
    <row r="113" spans="1:12" ht="13.5" customHeight="1" x14ac:dyDescent="0.3">
      <c r="B113" s="225" t="str">
        <f t="shared" ref="B113:G113" si="35">B11</f>
        <v>n points</v>
      </c>
      <c r="C113" s="166">
        <f t="shared" si="35"/>
        <v>33.997041694871669</v>
      </c>
      <c r="D113" s="222" t="str">
        <f t="shared" si="35"/>
        <v>SE% (TC)</v>
      </c>
      <c r="E113" s="169">
        <f t="shared" si="35"/>
        <v>5.1451813976226238E-2</v>
      </c>
      <c r="F113" s="218" t="str">
        <f t="shared" si="35"/>
        <v>Total cost</v>
      </c>
      <c r="G113" s="171">
        <f t="shared" si="35"/>
        <v>277.39172256068224</v>
      </c>
      <c r="H113" s="218" t="str">
        <f t="shared" si="34"/>
        <v>cost/point=</v>
      </c>
      <c r="I113" s="1078">
        <f t="shared" si="34"/>
        <v>8.1592900067692007</v>
      </c>
    </row>
    <row r="114" spans="1:12" ht="13.5" thickBot="1" x14ac:dyDescent="0.35">
      <c r="B114" s="226" t="str">
        <f>B12</f>
        <v>n (*BAR)</v>
      </c>
      <c r="C114" s="168">
        <f>C12</f>
        <v>36.704736195726113</v>
      </c>
      <c r="D114" s="223" t="str">
        <f>D12</f>
        <v>SE% (*BAR)</v>
      </c>
      <c r="E114" s="170">
        <f>E12</f>
        <v>3.0866014296565887E-2</v>
      </c>
      <c r="F114" s="219"/>
      <c r="G114" s="219"/>
      <c r="H114" s="220" t="str">
        <f t="shared" si="34"/>
        <v>"CVac" =&gt;      This is a kind of Total CV for the combination of points and *BAR you are using here</v>
      </c>
      <c r="I114" s="1079">
        <f t="shared" si="34"/>
        <v>0.34984189300530893</v>
      </c>
    </row>
    <row r="115" spans="1:12" ht="13" x14ac:dyDescent="0.3">
      <c r="B115" s="165" t="str">
        <f>B13</f>
        <v>Notes =&gt;</v>
      </c>
      <c r="C115" s="1080" t="str">
        <f>C13</f>
        <v>Other notes can go in this area when they apply to the CURRENT run ............................</v>
      </c>
      <c r="D115" s="213"/>
      <c r="E115" s="213"/>
      <c r="F115" s="213"/>
      <c r="G115" s="213"/>
      <c r="H115" s="213"/>
      <c r="I115" s="213"/>
    </row>
    <row r="116" spans="1:12" ht="13" x14ac:dyDescent="0.3">
      <c r="B116" s="165"/>
      <c r="C116" s="1081" t="str">
        <f>H9</f>
        <v>notes 1</v>
      </c>
      <c r="D116" s="213"/>
      <c r="E116" s="213"/>
      <c r="F116" s="213"/>
      <c r="G116" s="213"/>
      <c r="H116" s="213"/>
      <c r="I116" s="213"/>
    </row>
    <row r="117" spans="1:12" ht="13" x14ac:dyDescent="0.3">
      <c r="B117" s="165"/>
      <c r="C117" s="1081" t="str">
        <f>H10</f>
        <v>notes 2</v>
      </c>
      <c r="D117" s="213"/>
      <c r="E117" s="213"/>
      <c r="F117" s="213"/>
      <c r="G117" s="213"/>
      <c r="H117" s="213"/>
      <c r="I117" s="213"/>
    </row>
    <row r="118" spans="1:12" ht="13" x14ac:dyDescent="0.3">
      <c r="B118" s="165"/>
      <c r="C118" s="1082" t="str">
        <f>I9</f>
        <v>notes 3</v>
      </c>
      <c r="D118" s="213"/>
      <c r="E118" s="213"/>
      <c r="F118" s="213"/>
      <c r="G118" s="213"/>
      <c r="H118" s="213"/>
      <c r="I118" s="213"/>
    </row>
    <row r="119" spans="1:12" ht="13.5" thickBot="1" x14ac:dyDescent="0.35">
      <c r="B119" s="165"/>
      <c r="C119" s="1083" t="str">
        <f>I10</f>
        <v xml:space="preserve"> x*y etc A</v>
      </c>
      <c r="D119" s="213"/>
      <c r="E119" s="213"/>
      <c r="F119" s="213"/>
      <c r="G119" s="213"/>
      <c r="H119" s="213"/>
      <c r="I119" s="213"/>
    </row>
    <row r="120" spans="1:12" ht="13" x14ac:dyDescent="0.3">
      <c r="A120" s="449">
        <f>A14</f>
        <v>2</v>
      </c>
      <c r="B120" s="230" t="str">
        <f>B14</f>
        <v>Other Options Section : (Try any combination)</v>
      </c>
      <c r="C120" s="235"/>
      <c r="D120" s="239"/>
      <c r="E120" s="235"/>
      <c r="F120" s="240"/>
      <c r="G120" s="240" t="str">
        <f>G14</f>
        <v xml:space="preserve">  "BIG BAF multiplier" =</v>
      </c>
      <c r="H120" s="240"/>
      <c r="I120" s="173">
        <f t="shared" ref="I120:I125" si="36">I14</f>
        <v>2.4</v>
      </c>
    </row>
    <row r="121" spans="1:12" ht="13" x14ac:dyDescent="0.3">
      <c r="B121" s="229" t="str">
        <f t="shared" ref="B121:F123" si="37">B15</f>
        <v xml:space="preserve">  n points</v>
      </c>
      <c r="C121" s="1084">
        <f t="shared" si="37"/>
        <v>40</v>
      </c>
      <c r="D121" s="1085">
        <f t="shared" si="37"/>
        <v>28.885444444444445</v>
      </c>
      <c r="E121" s="222" t="str">
        <f t="shared" si="37"/>
        <v>SE%(TC)</v>
      </c>
      <c r="F121" s="169">
        <f t="shared" si="37"/>
        <v>4.7434164902525687E-2</v>
      </c>
      <c r="G121" s="28"/>
      <c r="H121" s="236" t="str">
        <f>H15</f>
        <v>Ave TC?=&gt;</v>
      </c>
      <c r="I121" s="1086">
        <f t="shared" si="36"/>
        <v>6</v>
      </c>
    </row>
    <row r="122" spans="1:12" ht="13" x14ac:dyDescent="0.3">
      <c r="B122" s="229" t="str">
        <f t="shared" si="37"/>
        <v xml:space="preserve">  n(*BAR)</v>
      </c>
      <c r="C122" s="1084">
        <f t="shared" si="37"/>
        <v>100</v>
      </c>
      <c r="D122" s="1085">
        <f t="shared" si="37"/>
        <v>72.213611111111106</v>
      </c>
      <c r="E122" s="236" t="str">
        <f t="shared" si="37"/>
        <v>SE%(*BAR)</v>
      </c>
      <c r="F122" s="169">
        <f t="shared" si="37"/>
        <v>1.8700000000000001E-2</v>
      </c>
      <c r="G122" s="28"/>
      <c r="H122" s="241" t="str">
        <f>H16</f>
        <v>(n*TC) =</v>
      </c>
      <c r="I122" s="174">
        <f t="shared" si="36"/>
        <v>240</v>
      </c>
    </row>
    <row r="123" spans="1:12" ht="13" x14ac:dyDescent="0.3">
      <c r="B123" s="231" t="str">
        <f t="shared" si="37"/>
        <v>Ratio Efficiency</v>
      </c>
      <c r="C123" s="37" t="str">
        <f t="shared" si="37"/>
        <v>Overall</v>
      </c>
      <c r="D123" s="177">
        <f t="shared" si="37"/>
        <v>0.87301510531365456</v>
      </c>
      <c r="E123" s="237" t="str">
        <f t="shared" si="37"/>
        <v>SE%(TOTAL)</v>
      </c>
      <c r="F123" s="338">
        <f t="shared" si="37"/>
        <v>5.098715524521838E-2</v>
      </c>
      <c r="G123" s="28"/>
      <c r="H123" s="241" t="str">
        <f>H17</f>
        <v xml:space="preserve">Total TC plots =  </v>
      </c>
      <c r="I123" s="175">
        <f t="shared" si="36"/>
        <v>16.666666666666668</v>
      </c>
    </row>
    <row r="124" spans="1:12" ht="13" x14ac:dyDescent="0.3">
      <c r="B124" s="232" t="s">
        <v>3</v>
      </c>
      <c r="C124" s="234" t="str">
        <f>C18</f>
        <v>Field</v>
      </c>
      <c r="D124" s="177">
        <f>D18</f>
        <v>0.87301510531365456</v>
      </c>
      <c r="E124" s="238" t="str">
        <f>E18</f>
        <v>Cost =</v>
      </c>
      <c r="F124" s="340">
        <f>F18</f>
        <v>440</v>
      </c>
      <c r="G124" s="28"/>
      <c r="H124" s="241" t="str">
        <f>H18</f>
        <v xml:space="preserve"> $/point=</v>
      </c>
      <c r="I124" s="175">
        <f t="shared" si="36"/>
        <v>11</v>
      </c>
    </row>
    <row r="125" spans="1:12" ht="13" thickBot="1" x14ac:dyDescent="0.3">
      <c r="B125" s="318"/>
      <c r="C125" s="219"/>
      <c r="D125" s="219"/>
      <c r="E125" s="429" t="str">
        <f>E19</f>
        <v>Compared to Optimum, Total cost &amp; efficiency ratio is ==&gt;</v>
      </c>
      <c r="F125" s="179">
        <f>F19</f>
        <v>1.5862045050884515</v>
      </c>
      <c r="G125" s="179">
        <f>G19</f>
        <v>0.63043573309245959</v>
      </c>
      <c r="H125" s="242" t="str">
        <f>H19</f>
        <v>"CVac" =&gt;      This is a kind of Total CV for the combination of points and *BAR you are using here</v>
      </c>
      <c r="I125" s="176">
        <f t="shared" si="36"/>
        <v>0.3224710839749822</v>
      </c>
      <c r="L125" s="20"/>
    </row>
    <row r="126" spans="1:12" x14ac:dyDescent="0.25">
      <c r="A126" s="5"/>
      <c r="L126" s="20"/>
    </row>
    <row r="127" spans="1:12" ht="13" thickBot="1" x14ac:dyDescent="0.3">
      <c r="A127" s="5"/>
      <c r="L127" s="20"/>
    </row>
    <row r="128" spans="1:12" ht="13" x14ac:dyDescent="0.3">
      <c r="A128" s="449">
        <f>A22</f>
        <v>3</v>
      </c>
      <c r="B128" s="243" t="str">
        <f>B22</f>
        <v xml:space="preserve">           Full Measure Comparison,  ALL trees measured,  SE% of =&gt;</v>
      </c>
      <c r="C128" s="244"/>
      <c r="D128" s="244"/>
      <c r="E128" s="244"/>
      <c r="F128" s="244"/>
      <c r="G128" s="244"/>
      <c r="H128" s="181">
        <f>H22</f>
        <v>0.06</v>
      </c>
      <c r="I128" s="247"/>
    </row>
    <row r="129" spans="1:11" ht="13" x14ac:dyDescent="0.3">
      <c r="B129" s="245" t="s">
        <v>3</v>
      </c>
      <c r="C129" s="246" t="str">
        <f t="shared" ref="C129:D131" si="38">C23</f>
        <v>number</v>
      </c>
      <c r="D129" s="246" t="str">
        <f t="shared" si="38"/>
        <v xml:space="preserve">    SE%'s</v>
      </c>
      <c r="E129" s="246"/>
      <c r="F129" s="249" t="str">
        <f>F23</f>
        <v>Ratio:</v>
      </c>
      <c r="G129" s="246"/>
      <c r="H129" s="246" t="str">
        <f>H23</f>
        <v>Ave TC?=&gt;</v>
      </c>
      <c r="I129" s="1087">
        <f>I23</f>
        <v>6</v>
      </c>
    </row>
    <row r="130" spans="1:11" ht="13" x14ac:dyDescent="0.3">
      <c r="B130" s="245" t="str">
        <f>B24</f>
        <v># Points</v>
      </c>
      <c r="C130" s="186">
        <f t="shared" si="38"/>
        <v>26.618935185185183</v>
      </c>
      <c r="D130" s="187">
        <f t="shared" si="38"/>
        <v>5.8146812879234198E-2</v>
      </c>
      <c r="E130" s="252" t="str">
        <f>E24</f>
        <v>SE%(TC)</v>
      </c>
      <c r="F130" s="182">
        <f>F24</f>
        <v>0.16666666666666666</v>
      </c>
      <c r="G130" s="246" t="str">
        <f>G24</f>
        <v>TC points/ *BAR measure</v>
      </c>
      <c r="H130" s="246"/>
      <c r="I130" s="248"/>
    </row>
    <row r="131" spans="1:11" ht="13" x14ac:dyDescent="0.3">
      <c r="B131" s="245" t="str">
        <f>B25</f>
        <v># (*BAR)</v>
      </c>
      <c r="C131" s="188">
        <f t="shared" si="38"/>
        <v>159.71361111111111</v>
      </c>
      <c r="D131" s="187">
        <f t="shared" si="38"/>
        <v>1.4796896701245317E-2</v>
      </c>
      <c r="E131" s="253" t="str">
        <f>E25</f>
        <v>SE%(*BAR)</v>
      </c>
      <c r="F131" s="249" t="s">
        <v>3</v>
      </c>
      <c r="G131" s="249" t="s">
        <v>3</v>
      </c>
      <c r="H131" s="249" t="s">
        <v>3</v>
      </c>
      <c r="I131" s="248"/>
    </row>
    <row r="132" spans="1:11" ht="13" x14ac:dyDescent="0.3">
      <c r="B132" s="245" t="s">
        <v>3</v>
      </c>
      <c r="C132" s="256" t="s">
        <v>3</v>
      </c>
      <c r="D132" s="189">
        <f>D26</f>
        <v>6.0000000000000005E-2</v>
      </c>
      <c r="E132" s="254" t="str">
        <f>E26</f>
        <v>SE%(TOTAL)</v>
      </c>
      <c r="F132" s="249" t="s">
        <v>3</v>
      </c>
      <c r="G132" s="538"/>
      <c r="H132" s="250" t="str">
        <f>H26</f>
        <v>cost / point=</v>
      </c>
      <c r="I132" s="184">
        <f>I26</f>
        <v>18</v>
      </c>
    </row>
    <row r="133" spans="1:11" ht="13" thickBot="1" x14ac:dyDescent="0.3">
      <c r="B133" s="257" t="str">
        <f>B27</f>
        <v>Total cost</v>
      </c>
      <c r="C133" s="190">
        <f>C27</f>
        <v>479.14083333333332</v>
      </c>
      <c r="D133" s="251" t="s">
        <v>3</v>
      </c>
      <c r="E133" s="255" t="str">
        <f>E27</f>
        <v>Cost Ratio</v>
      </c>
      <c r="F133" s="183">
        <f>F27</f>
        <v>1.7273076100117459</v>
      </c>
      <c r="G133" s="251" t="s">
        <v>95</v>
      </c>
      <c r="H133" s="251"/>
      <c r="I133" s="185">
        <f>I27</f>
        <v>0.5789356766587741</v>
      </c>
    </row>
    <row r="134" spans="1:11" ht="13" thickBot="1" x14ac:dyDescent="0.3">
      <c r="B134" s="10" t="s">
        <v>3</v>
      </c>
      <c r="D134" s="11" t="s">
        <v>3</v>
      </c>
      <c r="F134" s="10" t="s">
        <v>3</v>
      </c>
      <c r="H134" s="10" t="s">
        <v>3</v>
      </c>
      <c r="I134" s="10" t="s">
        <v>3</v>
      </c>
      <c r="J134" s="10" t="s">
        <v>3</v>
      </c>
      <c r="K134" s="10" t="s">
        <v>3</v>
      </c>
    </row>
    <row r="135" spans="1:11" ht="13" x14ac:dyDescent="0.3">
      <c r="A135" s="449">
        <f>A29</f>
        <v>4</v>
      </c>
      <c r="B135" s="270" t="str">
        <f>B29</f>
        <v>Calculation of "Student-t" values</v>
      </c>
      <c r="C135" s="271"/>
      <c r="D135" s="271"/>
      <c r="E135" s="271"/>
      <c r="F135" s="263" t="str">
        <f>F29</f>
        <v xml:space="preserve">        Standard</v>
      </c>
      <c r="G135" s="264"/>
      <c r="I135" s="258" t="str">
        <f>I29</f>
        <v xml:space="preserve">        From part 1</v>
      </c>
      <c r="J135" s="259"/>
      <c r="K135" s="462" t="str">
        <f>K29</f>
        <v>n</v>
      </c>
    </row>
    <row r="136" spans="1:11" ht="13" x14ac:dyDescent="0.3">
      <c r="B136" s="273" t="str">
        <f>B30</f>
        <v xml:space="preserve">  Conf. % =</v>
      </c>
      <c r="C136" s="1088">
        <f t="shared" ref="C136:G137" si="39">C30</f>
        <v>0.95</v>
      </c>
      <c r="D136" s="272" t="str">
        <f t="shared" si="39"/>
        <v>SE% =</v>
      </c>
      <c r="E136" s="1089">
        <f t="shared" si="39"/>
        <v>0.06</v>
      </c>
      <c r="F136" s="265" t="str">
        <f t="shared" si="39"/>
        <v>Conf.</v>
      </c>
      <c r="G136" s="266" t="str">
        <f t="shared" si="39"/>
        <v>(t *  SE%)</v>
      </c>
      <c r="I136" s="260" t="str">
        <f>I30</f>
        <v>SE%(TC)=</v>
      </c>
      <c r="J136" s="262">
        <f>J30</f>
        <v>5.1451813976226238E-2</v>
      </c>
      <c r="K136" s="372">
        <f>K30</f>
        <v>33.997041694871669</v>
      </c>
    </row>
    <row r="137" spans="1:11" ht="13.5" thickBot="1" x14ac:dyDescent="0.35">
      <c r="B137" s="274" t="str">
        <f>B31</f>
        <v>n =</v>
      </c>
      <c r="C137" s="1090">
        <f t="shared" si="39"/>
        <v>123</v>
      </c>
      <c r="D137" s="272" t="str">
        <f t="shared" si="39"/>
        <v>SE% * t =</v>
      </c>
      <c r="E137" s="187">
        <f t="shared" si="39"/>
        <v>0.11877599270919841</v>
      </c>
      <c r="F137" s="267">
        <f t="shared" si="39"/>
        <v>0.05</v>
      </c>
      <c r="G137" s="192">
        <f t="shared" si="39"/>
        <v>3.77015482710734E-3</v>
      </c>
      <c r="I137" s="260" t="str">
        <f>I31</f>
        <v>SE%(*bar)=</v>
      </c>
      <c r="J137" s="262">
        <f>J31</f>
        <v>3.0866014296565887E-2</v>
      </c>
      <c r="K137" s="373">
        <f>K31</f>
        <v>36.704736195726113</v>
      </c>
    </row>
    <row r="138" spans="1:11" ht="13" x14ac:dyDescent="0.3">
      <c r="B138" s="275" t="str">
        <f>B32</f>
        <v>"t" (conf) =</v>
      </c>
      <c r="C138" s="191">
        <f>C32</f>
        <v>1.9795998784866402</v>
      </c>
      <c r="D138" s="269"/>
      <c r="E138" s="269"/>
      <c r="F138" s="267">
        <f>F32</f>
        <v>0.5</v>
      </c>
      <c r="G138" s="192">
        <f>G32</f>
        <v>4.0590361791624834E-2</v>
      </c>
      <c r="I138" s="260" t="str">
        <f>I32</f>
        <v>SE%comb=</v>
      </c>
      <c r="J138" s="192">
        <f>J32</f>
        <v>0.06</v>
      </c>
      <c r="K138" s="37"/>
    </row>
    <row r="139" spans="1:11" ht="13.5" thickBot="1" x14ac:dyDescent="0.35">
      <c r="B139" s="276"/>
      <c r="C139" s="277" t="s">
        <v>3</v>
      </c>
      <c r="D139" s="1091" t="str">
        <f>D33</f>
        <v>notes and comments</v>
      </c>
      <c r="E139" s="1092"/>
      <c r="F139" s="268">
        <f>F33</f>
        <v>0.95</v>
      </c>
      <c r="G139" s="193">
        <f>G33</f>
        <v>0.11877599270919841</v>
      </c>
      <c r="I139" s="233"/>
      <c r="J139" s="261"/>
      <c r="K139" s="37"/>
    </row>
    <row r="140" spans="1:11" ht="13" thickBot="1" x14ac:dyDescent="0.3"/>
    <row r="141" spans="1:11" ht="13.5" thickBot="1" x14ac:dyDescent="0.35">
      <c r="A141" s="449" t="str">
        <f>A35</f>
        <v>5 e</v>
      </c>
      <c r="B141" s="278"/>
      <c r="C141" s="279"/>
      <c r="D141" s="279"/>
      <c r="E141" s="280" t="str">
        <f>E35</f>
        <v>ENGLISH UNITS</v>
      </c>
      <c r="F141" s="279"/>
      <c r="G141" s="279"/>
      <c r="H141" s="279"/>
      <c r="I141" s="279"/>
      <c r="J141" s="288"/>
    </row>
    <row r="142" spans="1:11" ht="14" thickTop="1" thickBot="1" x14ac:dyDescent="0.35">
      <c r="B142" s="281">
        <f>B36</f>
        <v>0</v>
      </c>
      <c r="C142" s="282"/>
      <c r="D142" s="282"/>
      <c r="E142" s="282"/>
      <c r="F142" s="283" t="str">
        <f>F36</f>
        <v xml:space="preserve">Programs to compute BAF from distance to a target: </v>
      </c>
      <c r="G142" s="282"/>
      <c r="H142" s="284" t="str">
        <f t="shared" ref="H142:J144" si="40">H36</f>
        <v>BAFe</v>
      </c>
      <c r="I142" s="1093">
        <f t="shared" si="40"/>
        <v>200</v>
      </c>
      <c r="J142" s="1094">
        <f t="shared" si="40"/>
        <v>200</v>
      </c>
      <c r="K142" s="10" t="s">
        <v>3</v>
      </c>
    </row>
    <row r="143" spans="1:11" ht="13.5" thickBot="1" x14ac:dyDescent="0.35">
      <c r="B143" s="285" t="str">
        <f>B37</f>
        <v xml:space="preserve">  To calibrate an angle gauge</v>
      </c>
      <c r="C143" s="37"/>
      <c r="D143" s="37"/>
      <c r="E143" s="37"/>
      <c r="F143" s="286" t="str">
        <f>F37</f>
        <v xml:space="preserve">     BAF:</v>
      </c>
      <c r="G143" s="286"/>
      <c r="H143" s="287" t="str">
        <f t="shared" si="40"/>
        <v>target width</v>
      </c>
      <c r="I143" s="1073">
        <f t="shared" si="40"/>
        <v>8.5</v>
      </c>
      <c r="J143" s="194">
        <f t="shared" si="40"/>
        <v>3.2599549495449676</v>
      </c>
    </row>
    <row r="144" spans="1:11" ht="13.5" thickBot="1" x14ac:dyDescent="0.35">
      <c r="B144" s="290"/>
      <c r="C144" s="218" t="str">
        <f t="shared" ref="C144:E145" si="41">C38</f>
        <v xml:space="preserve">  Width of target =</v>
      </c>
      <c r="D144" s="1073">
        <f t="shared" si="41"/>
        <v>8.5</v>
      </c>
      <c r="E144" s="37" t="str">
        <f t="shared" si="41"/>
        <v>inches</v>
      </c>
      <c r="F144" s="195">
        <f>F38</f>
        <v>151.24818281210577</v>
      </c>
      <c r="G144" s="37" t="str">
        <f>G38</f>
        <v>sq. ft/ acre</v>
      </c>
      <c r="H144" s="289" t="str">
        <f t="shared" si="40"/>
        <v>distance (ft)</v>
      </c>
      <c r="I144" s="194">
        <f t="shared" si="40"/>
        <v>5.2147959904700221</v>
      </c>
      <c r="J144" s="1095">
        <f t="shared" si="40"/>
        <v>2</v>
      </c>
      <c r="K144" s="11"/>
    </row>
    <row r="145" spans="1:11" ht="13" x14ac:dyDescent="0.3">
      <c r="B145" s="290"/>
      <c r="C145" s="218" t="str">
        <f t="shared" si="41"/>
        <v xml:space="preserve"> Distance to target =</v>
      </c>
      <c r="D145" s="1073">
        <f t="shared" si="41"/>
        <v>6</v>
      </c>
      <c r="E145" s="37" t="str">
        <f t="shared" si="41"/>
        <v>feet</v>
      </c>
      <c r="F145" s="37" t="s">
        <v>3</v>
      </c>
      <c r="G145" s="37" t="s">
        <v>3</v>
      </c>
      <c r="H145" s="37" t="s">
        <v>3</v>
      </c>
      <c r="I145" s="37"/>
      <c r="J145" s="299"/>
      <c r="K145" s="11" t="s">
        <v>3</v>
      </c>
    </row>
    <row r="146" spans="1:11" ht="13" x14ac:dyDescent="0.3">
      <c r="B146" s="291"/>
      <c r="C146" s="218" t="str">
        <f>C40</f>
        <v xml:space="preserve">   enter 1 if target flat =</v>
      </c>
      <c r="D146" s="1096">
        <f>D40</f>
        <v>1</v>
      </c>
      <c r="E146" s="37"/>
      <c r="F146" s="37"/>
      <c r="G146" s="37"/>
      <c r="H146" s="37"/>
      <c r="I146" s="37"/>
      <c r="J146" s="221"/>
    </row>
    <row r="147" spans="1:11" ht="13" x14ac:dyDescent="0.3">
      <c r="B147" s="291" t="str">
        <f>B41</f>
        <v xml:space="preserve">   or 0 if target is a cylinder</v>
      </c>
      <c r="C147" s="37"/>
      <c r="D147" s="37"/>
      <c r="E147" s="37"/>
      <c r="F147" s="37"/>
      <c r="G147" s="218" t="str">
        <f t="shared" ref="G147:I149" si="42">G41</f>
        <v>Plot Radius Factor, ctr :</v>
      </c>
      <c r="H147" s="196">
        <f t="shared" si="42"/>
        <v>0.70711102897980782</v>
      </c>
      <c r="I147" s="37" t="str">
        <f t="shared" si="42"/>
        <v>ft. per inch Diameter</v>
      </c>
      <c r="J147" s="221"/>
    </row>
    <row r="148" spans="1:11" ht="13.5" thickBot="1" x14ac:dyDescent="0.35">
      <c r="B148" s="228" t="s">
        <v>3</v>
      </c>
      <c r="C148" s="37"/>
      <c r="D148" s="37"/>
      <c r="E148" s="37"/>
      <c r="F148" s="37"/>
      <c r="G148" s="218" t="str">
        <f t="shared" si="42"/>
        <v>Plot Radius Factor, face :</v>
      </c>
      <c r="H148" s="197">
        <f t="shared" si="42"/>
        <v>0.66544436231314119</v>
      </c>
      <c r="I148" s="37" t="str">
        <f t="shared" si="42"/>
        <v>ft. per inch Diameter</v>
      </c>
      <c r="J148" s="221"/>
    </row>
    <row r="149" spans="1:11" ht="13" x14ac:dyDescent="0.3">
      <c r="B149" s="292" t="str">
        <f>B43</f>
        <v>Enter PRF</v>
      </c>
      <c r="C149" s="1097">
        <f>C43</f>
        <v>0.70711102897980782</v>
      </c>
      <c r="D149" s="295" t="str">
        <f>D43</f>
        <v>if PRFctr</v>
      </c>
      <c r="E149" s="296" t="str">
        <f>E43</f>
        <v>if PRFface</v>
      </c>
      <c r="F149" s="286"/>
      <c r="G149" s="294" t="str">
        <f t="shared" si="42"/>
        <v>Enter Diameter =</v>
      </c>
      <c r="H149" s="1098">
        <f t="shared" si="42"/>
        <v>24</v>
      </c>
      <c r="I149" s="300" t="str">
        <f t="shared" si="42"/>
        <v xml:space="preserve">   Inches</v>
      </c>
      <c r="J149" s="221"/>
    </row>
    <row r="150" spans="1:11" ht="13.5" thickBot="1" x14ac:dyDescent="0.35">
      <c r="B150" s="233" t="s">
        <v>3</v>
      </c>
      <c r="C150" s="293" t="str">
        <f t="shared" ref="C150:H150" si="43">C44</f>
        <v>BAFenglish</v>
      </c>
      <c r="D150" s="201">
        <f t="shared" si="43"/>
        <v>151.2481828121058</v>
      </c>
      <c r="E150" s="200">
        <f t="shared" si="43"/>
        <v>134.88373679642427</v>
      </c>
      <c r="F150" s="297" t="str">
        <f t="shared" si="43"/>
        <v xml:space="preserve"> borderline at</v>
      </c>
      <c r="G150" s="198">
        <f t="shared" si="43"/>
        <v>16.970664695515389</v>
      </c>
      <c r="H150" s="221" t="str">
        <f t="shared" si="43"/>
        <v xml:space="preserve"> feet, from tree center</v>
      </c>
      <c r="I150" s="37"/>
      <c r="J150" s="221"/>
    </row>
    <row r="151" spans="1:11" ht="13.5" thickBot="1" x14ac:dyDescent="0.35">
      <c r="A151" s="450"/>
      <c r="B151" s="1099" t="str">
        <f>K41</f>
        <v xml:space="preserve"> x*y etc B </v>
      </c>
      <c r="C151" s="37"/>
      <c r="D151" s="37"/>
      <c r="E151" s="37"/>
      <c r="F151" s="298" t="str">
        <f>F45</f>
        <v xml:space="preserve"> borderline at</v>
      </c>
      <c r="G151" s="199">
        <f>G45</f>
        <v>15.970664695515389</v>
      </c>
      <c r="H151" s="219" t="str">
        <f>H45</f>
        <v xml:space="preserve"> feet, from tree face</v>
      </c>
      <c r="I151" s="219"/>
      <c r="J151" s="261"/>
    </row>
    <row r="152" spans="1:11" ht="13" thickBot="1" x14ac:dyDescent="0.3">
      <c r="B152" s="1100" t="str">
        <f>K42</f>
        <v xml:space="preserve"> x*y etc C</v>
      </c>
    </row>
    <row r="153" spans="1:11" ht="13.5" thickBot="1" x14ac:dyDescent="0.35">
      <c r="A153" s="449" t="str">
        <f>A47</f>
        <v>5 m</v>
      </c>
      <c r="B153" s="1101"/>
      <c r="C153" s="1102"/>
      <c r="D153" s="1102"/>
      <c r="E153" s="548" t="str">
        <f>E47</f>
        <v>METRIC UNITS</v>
      </c>
      <c r="F153" s="1102"/>
      <c r="G153" s="1102"/>
      <c r="H153" s="1102"/>
      <c r="I153" s="1102"/>
      <c r="J153" s="1103"/>
    </row>
    <row r="154" spans="1:11" ht="14" thickTop="1" thickBot="1" x14ac:dyDescent="0.35">
      <c r="B154" s="301"/>
      <c r="C154" s="1104"/>
      <c r="D154" s="1104"/>
      <c r="E154" s="1104"/>
      <c r="F154" s="283" t="str">
        <f>F48</f>
        <v xml:space="preserve">Programs to compute BAF from distance to a target:   </v>
      </c>
      <c r="G154" s="1104"/>
      <c r="H154" s="1105" t="str">
        <f t="shared" ref="H154:J156" si="44">H48</f>
        <v>BAFm</v>
      </c>
      <c r="I154" s="1106">
        <f t="shared" si="44"/>
        <v>137.74104683195591</v>
      </c>
      <c r="J154" s="1107">
        <f t="shared" si="44"/>
        <v>137.74104683195591</v>
      </c>
    </row>
    <row r="155" spans="1:11" ht="13.5" thickBot="1" x14ac:dyDescent="0.35">
      <c r="B155" s="1108"/>
      <c r="C155" s="1109"/>
      <c r="D155" s="1109"/>
      <c r="E155" s="1109"/>
      <c r="F155" s="1109"/>
      <c r="G155" s="286"/>
      <c r="H155" s="1110" t="str">
        <f t="shared" si="44"/>
        <v>target width</v>
      </c>
      <c r="I155" s="1073">
        <f t="shared" si="44"/>
        <v>21.59</v>
      </c>
      <c r="J155" s="202">
        <f t="shared" si="44"/>
        <v>21.589999999999996</v>
      </c>
    </row>
    <row r="156" spans="1:11" ht="13.5" thickBot="1" x14ac:dyDescent="0.35">
      <c r="B156" s="290"/>
      <c r="C156" s="1111" t="str">
        <f t="shared" ref="C156:G158" si="45">C50</f>
        <v xml:space="preserve">  Width of target =</v>
      </c>
      <c r="D156" s="1112">
        <f t="shared" si="45"/>
        <v>21.59</v>
      </c>
      <c r="E156" s="1109" t="str">
        <f t="shared" si="45"/>
        <v>centimeters</v>
      </c>
      <c r="F156" s="286" t="str">
        <f t="shared" si="45"/>
        <v xml:space="preserve">     BAF:</v>
      </c>
      <c r="G156" s="1109" t="s">
        <v>3</v>
      </c>
      <c r="H156" s="1113" t="str">
        <f t="shared" si="44"/>
        <v>distance</v>
      </c>
      <c r="I156" s="202">
        <f t="shared" si="44"/>
        <v>0.91343817470040078</v>
      </c>
      <c r="J156" s="1114">
        <f t="shared" si="44"/>
        <v>0.91343817470040078</v>
      </c>
    </row>
    <row r="157" spans="1:11" ht="13" x14ac:dyDescent="0.3">
      <c r="B157" s="290"/>
      <c r="C157" s="1111" t="str">
        <f t="shared" si="45"/>
        <v xml:space="preserve"> Distance to target =</v>
      </c>
      <c r="D157" s="1115">
        <f t="shared" si="45"/>
        <v>0.91343817470040078</v>
      </c>
      <c r="E157" s="1109" t="str">
        <f t="shared" si="45"/>
        <v>meters</v>
      </c>
      <c r="F157" s="195">
        <f t="shared" si="45"/>
        <v>137.74104683195594</v>
      </c>
      <c r="G157" s="1109" t="str">
        <f t="shared" si="45"/>
        <v>sq. meters/ hectare</v>
      </c>
      <c r="H157" s="1109"/>
      <c r="I157" s="1109"/>
      <c r="J157" s="1116"/>
    </row>
    <row r="158" spans="1:11" ht="13" x14ac:dyDescent="0.3">
      <c r="B158" s="224"/>
      <c r="C158" s="1111" t="str">
        <f t="shared" si="45"/>
        <v xml:space="preserve">   enter 1 if target flat =</v>
      </c>
      <c r="D158" s="1117">
        <f t="shared" si="45"/>
        <v>1</v>
      </c>
      <c r="E158" s="1109"/>
      <c r="F158" s="1109"/>
      <c r="G158" s="1109"/>
      <c r="H158" s="1109"/>
      <c r="I158" s="1109"/>
      <c r="J158" s="1118"/>
    </row>
    <row r="159" spans="1:11" ht="13" x14ac:dyDescent="0.3">
      <c r="B159" s="224" t="str">
        <f>B53</f>
        <v xml:space="preserve">   or 0 if target is a cylinder</v>
      </c>
      <c r="C159" s="1109"/>
      <c r="D159" s="1109"/>
      <c r="E159" s="1109"/>
      <c r="F159" s="1109"/>
      <c r="G159" s="1111" t="str">
        <f t="shared" ref="G159:I161" si="46">G53</f>
        <v>Plot Radius Factor, ctr :</v>
      </c>
      <c r="H159" s="196">
        <f t="shared" si="46"/>
        <v>4.2602816808281582E-2</v>
      </c>
      <c r="I159" s="1109" t="str">
        <f t="shared" si="46"/>
        <v>m per cm Diameter</v>
      </c>
      <c r="J159" s="1118"/>
    </row>
    <row r="160" spans="1:11" ht="13.5" thickBot="1" x14ac:dyDescent="0.35">
      <c r="B160" s="1108" t="s">
        <v>3</v>
      </c>
      <c r="C160" s="1109"/>
      <c r="D160" s="1109"/>
      <c r="E160" s="1109"/>
      <c r="F160" s="1109"/>
      <c r="G160" s="1111" t="str">
        <f t="shared" si="46"/>
        <v>Plot Radius Factor, face :</v>
      </c>
      <c r="H160" s="197">
        <f t="shared" si="46"/>
        <v>3.7602816808281585E-2</v>
      </c>
      <c r="I160" s="1109" t="str">
        <f t="shared" si="46"/>
        <v>m per cm Diameter</v>
      </c>
      <c r="J160" s="1118"/>
    </row>
    <row r="161" spans="1:10" ht="13.5" thickBot="1" x14ac:dyDescent="0.35">
      <c r="B161" s="1119" t="str">
        <f>B55</f>
        <v>Enter PRF</v>
      </c>
      <c r="C161" s="1097">
        <f t="shared" ref="C161:H163" si="47">C55</f>
        <v>4.2602816808281582E-2</v>
      </c>
      <c r="D161" s="295" t="str">
        <f t="shared" si="47"/>
        <v>if PRFctr</v>
      </c>
      <c r="E161" s="296" t="str">
        <f t="shared" si="47"/>
        <v>if PRFface</v>
      </c>
      <c r="F161" s="286"/>
      <c r="G161" s="294" t="str">
        <f t="shared" si="46"/>
        <v>Enter Diameter =</v>
      </c>
      <c r="H161" s="1073">
        <f t="shared" si="46"/>
        <v>60.96</v>
      </c>
      <c r="I161" s="1120" t="str">
        <f t="shared" si="46"/>
        <v xml:space="preserve">   cm</v>
      </c>
      <c r="J161" s="1118"/>
    </row>
    <row r="162" spans="1:10" ht="13.5" thickBot="1" x14ac:dyDescent="0.35">
      <c r="B162" s="1121" t="s">
        <v>3</v>
      </c>
      <c r="C162" s="302" t="str">
        <f t="shared" si="47"/>
        <v>BAF metric</v>
      </c>
      <c r="D162" s="205">
        <f t="shared" si="47"/>
        <v>137.74104683195594</v>
      </c>
      <c r="E162" s="206">
        <f t="shared" si="47"/>
        <v>110.32519521216445</v>
      </c>
      <c r="F162" s="303" t="str">
        <f t="shared" si="47"/>
        <v xml:space="preserve"> borderline at</v>
      </c>
      <c r="G162" s="203">
        <f t="shared" si="47"/>
        <v>2.5970677126328452</v>
      </c>
      <c r="H162" s="1122" t="str">
        <f t="shared" si="47"/>
        <v>meters from tree center</v>
      </c>
      <c r="I162" s="1109"/>
      <c r="J162" s="1118"/>
    </row>
    <row r="163" spans="1:10" ht="13.5" thickBot="1" x14ac:dyDescent="0.35">
      <c r="B163" s="1099" t="str">
        <f>K53</f>
        <v xml:space="preserve"> x*y etc D </v>
      </c>
      <c r="D163" s="629"/>
      <c r="E163" s="629"/>
      <c r="F163" s="298" t="str">
        <f t="shared" si="47"/>
        <v xml:space="preserve"> borderline at</v>
      </c>
      <c r="G163" s="204">
        <f t="shared" si="47"/>
        <v>2.292267712632845</v>
      </c>
      <c r="H163" s="1123" t="str">
        <f t="shared" si="47"/>
        <v>meters from tree face</v>
      </c>
      <c r="I163" s="1123"/>
      <c r="J163" s="1124"/>
    </row>
    <row r="164" spans="1:10" x14ac:dyDescent="0.25">
      <c r="B164" s="1125" t="str">
        <f>K54</f>
        <v xml:space="preserve"> x*y etc E</v>
      </c>
    </row>
    <row r="165" spans="1:10" ht="13" thickBot="1" x14ac:dyDescent="0.3"/>
    <row r="166" spans="1:10" ht="13.5" thickBot="1" x14ac:dyDescent="0.35">
      <c r="A166" s="449" t="str">
        <f>A60</f>
        <v>6 e</v>
      </c>
      <c r="B166" s="278"/>
      <c r="C166" s="279"/>
      <c r="D166" s="279"/>
      <c r="E166" s="280" t="str">
        <f>E60</f>
        <v>ENGLISH UNITS , BAF calculations</v>
      </c>
      <c r="F166" s="279"/>
      <c r="G166" s="279"/>
      <c r="H166" s="279"/>
      <c r="I166" s="279"/>
      <c r="J166" s="288"/>
    </row>
    <row r="167" spans="1:10" ht="13" x14ac:dyDescent="0.3">
      <c r="B167" s="1126" t="str">
        <f>B61</f>
        <v>---- Program to compute equivalent plot size with prism (from tree center) -----</v>
      </c>
      <c r="C167" s="215"/>
      <c r="D167" s="215"/>
      <c r="E167" s="215"/>
      <c r="F167" s="215"/>
      <c r="G167" s="215"/>
      <c r="H167" s="215"/>
      <c r="I167" s="1127" t="s">
        <v>3</v>
      </c>
      <c r="J167" s="216"/>
    </row>
    <row r="168" spans="1:10" ht="13.5" thickBot="1" x14ac:dyDescent="0.35">
      <c r="B168" s="287" t="str">
        <f>B62</f>
        <v>Using BAFe</v>
      </c>
      <c r="C168" s="1073">
        <f>C62</f>
        <v>60</v>
      </c>
      <c r="D168" s="218" t="str">
        <f>D62</f>
        <v xml:space="preserve"> DBH of :</v>
      </c>
      <c r="E168" s="1073">
        <f>E62</f>
        <v>12</v>
      </c>
      <c r="F168" s="307" t="str">
        <f>F62</f>
        <v>inches</v>
      </c>
      <c r="G168" s="308" t="str">
        <f>G62</f>
        <v>[ note : BAF(english)/4.3560 = BAF(metric)]</v>
      </c>
      <c r="H168" s="37"/>
      <c r="I168" s="37"/>
      <c r="J168" s="221"/>
    </row>
    <row r="169" spans="1:10" ht="13.5" thickBot="1" x14ac:dyDescent="0.35">
      <c r="B169" s="289" t="str">
        <f>B63</f>
        <v>trees/acre</v>
      </c>
      <c r="C169" s="211">
        <f>C63</f>
        <v>76.394437211730363</v>
      </c>
      <c r="D169" s="37" t="s">
        <v>3</v>
      </c>
      <c r="E169" s="37" t="s">
        <v>3</v>
      </c>
      <c r="F169" s="37" t="s">
        <v>3</v>
      </c>
      <c r="G169" s="37" t="s">
        <v>3</v>
      </c>
      <c r="H169" s="207">
        <f>H63</f>
        <v>1.3089958333333334E-2</v>
      </c>
      <c r="I169" s="37" t="str">
        <f>I63</f>
        <v>acres, as a circle</v>
      </c>
      <c r="J169" s="221"/>
    </row>
    <row r="170" spans="1:10" ht="13.5" thickBot="1" x14ac:dyDescent="0.35">
      <c r="B170" s="287"/>
      <c r="C170" s="37"/>
      <c r="D170" s="215"/>
      <c r="E170" s="304" t="str">
        <f>E64</f>
        <v xml:space="preserve">  Plot Radius Factor : Face vs. Center of tree</v>
      </c>
      <c r="F170" s="305" t="s">
        <v>170</v>
      </c>
      <c r="G170" s="549"/>
      <c r="H170" s="215" t="s">
        <v>3</v>
      </c>
      <c r="I170" s="215"/>
      <c r="J170" s="216"/>
    </row>
    <row r="171" spans="1:10" ht="13.5" thickBot="1" x14ac:dyDescent="0.35">
      <c r="B171" s="228"/>
      <c r="C171" s="218" t="str">
        <f>C65</f>
        <v>Blow-up Factor(english)</v>
      </c>
      <c r="D171" s="211">
        <f>D65</f>
        <v>726</v>
      </c>
      <c r="E171" s="218" t="str">
        <f>E65</f>
        <v>PRF,ctr =</v>
      </c>
      <c r="F171" s="209">
        <f t="shared" ref="F171:I172" si="48">F65</f>
        <v>1.1226827987756234</v>
      </c>
      <c r="G171" s="309" t="str">
        <f t="shared" si="48"/>
        <v>=</v>
      </c>
      <c r="H171" s="194">
        <f t="shared" si="48"/>
        <v>13.47219358530748</v>
      </c>
      <c r="I171" s="37" t="str">
        <f t="shared" si="48"/>
        <v>feet from center</v>
      </c>
      <c r="J171" s="221"/>
    </row>
    <row r="172" spans="1:10" ht="13.5" thickBot="1" x14ac:dyDescent="0.35">
      <c r="B172" s="550" t="str">
        <f>B66</f>
        <v>angle =</v>
      </c>
      <c r="C172" s="202">
        <f>C66</f>
        <v>4.2538685783306756</v>
      </c>
      <c r="D172" s="551" t="str">
        <f>D66</f>
        <v>degrees</v>
      </c>
      <c r="E172" s="306" t="str">
        <f>E66</f>
        <v>PRF,face =</v>
      </c>
      <c r="F172" s="210">
        <f t="shared" si="48"/>
        <v>1.0810161321089566</v>
      </c>
      <c r="G172" s="310" t="str">
        <f t="shared" si="48"/>
        <v>=</v>
      </c>
      <c r="H172" s="208">
        <f t="shared" si="48"/>
        <v>12.97219358530748</v>
      </c>
      <c r="I172" s="219" t="str">
        <f t="shared" si="48"/>
        <v>feet from face</v>
      </c>
      <c r="J172" s="261"/>
    </row>
    <row r="173" spans="1:10" ht="13" thickBot="1" x14ac:dyDescent="0.3">
      <c r="B173" s="1128" t="str">
        <f>K64</f>
        <v xml:space="preserve"> x*y etc F</v>
      </c>
      <c r="E173" s="37"/>
    </row>
    <row r="174" spans="1:10" ht="13.5" thickBot="1" x14ac:dyDescent="0.35">
      <c r="B174" s="1101"/>
      <c r="C174" s="1102"/>
      <c r="D174" s="1102"/>
      <c r="E174" s="548" t="str">
        <f t="shared" ref="E174:E179" si="49">E68</f>
        <v>METRIC UNITS , BAF calculations</v>
      </c>
      <c r="F174" s="1102"/>
      <c r="G174" s="1102"/>
      <c r="H174" s="1102"/>
      <c r="I174" s="1102"/>
      <c r="J174" s="1103"/>
    </row>
    <row r="175" spans="1:10" ht="13.5" thickBot="1" x14ac:dyDescent="0.35">
      <c r="B175" s="1105" t="str">
        <f>B69</f>
        <v>Using BAFm</v>
      </c>
      <c r="C175" s="1129">
        <f>C69</f>
        <v>13.774104683195592</v>
      </c>
      <c r="D175" s="1130" t="str">
        <f>D69</f>
        <v xml:space="preserve"> DBH of :</v>
      </c>
      <c r="E175" s="194">
        <f>E69</f>
        <v>30.48</v>
      </c>
      <c r="F175" s="1131" t="str">
        <f>F69</f>
        <v>cm</v>
      </c>
      <c r="G175" s="1131" t="str">
        <f t="shared" ref="G175:I176" si="50">G69</f>
        <v xml:space="preserve"> </v>
      </c>
      <c r="H175" s="1132">
        <f t="shared" si="50"/>
        <v>52.973181950198395</v>
      </c>
      <c r="I175" s="1133" t="str">
        <f t="shared" si="50"/>
        <v>square meters</v>
      </c>
      <c r="J175" s="1134"/>
    </row>
    <row r="176" spans="1:10" ht="13.5" thickBot="1" x14ac:dyDescent="0.35">
      <c r="B176" s="1110" t="str">
        <f>B70</f>
        <v>trees/ha =</v>
      </c>
      <c r="C176" s="194">
        <f>C70</f>
        <v>188.7747654917404</v>
      </c>
      <c r="D176" s="1109" t="s">
        <v>3</v>
      </c>
      <c r="E176" s="1109" t="s">
        <v>3</v>
      </c>
      <c r="F176" s="1109" t="s">
        <v>3</v>
      </c>
      <c r="G176" s="1111" t="str">
        <f t="shared" si="50"/>
        <v>or</v>
      </c>
      <c r="H176" s="1135">
        <f t="shared" si="50"/>
        <v>5.2973181950198393E-3</v>
      </c>
      <c r="I176" s="1109" t="str">
        <f t="shared" si="50"/>
        <v>hectares, as a circle</v>
      </c>
      <c r="J176" s="1118"/>
    </row>
    <row r="177" spans="1:11" ht="13.5" thickBot="1" x14ac:dyDescent="0.35">
      <c r="B177" s="1072"/>
      <c r="C177" s="1133"/>
      <c r="D177" s="1133"/>
      <c r="E177" s="1136" t="str">
        <f t="shared" si="49"/>
        <v xml:space="preserve">  Plot Radius Factor : Face vs. Center of tree</v>
      </c>
      <c r="F177" s="1137" t="str">
        <f>F71</f>
        <v>Metric</v>
      </c>
      <c r="G177" s="1133" t="s">
        <v>3</v>
      </c>
      <c r="H177" s="1109"/>
      <c r="I177" s="1133"/>
      <c r="J177" s="1134"/>
    </row>
    <row r="178" spans="1:11" ht="13.5" thickBot="1" x14ac:dyDescent="0.35">
      <c r="B178" s="1138"/>
      <c r="C178" s="1111" t="str">
        <f>C72</f>
        <v>Blow-up Factor (metric)</v>
      </c>
      <c r="D178" s="1139">
        <f>D72</f>
        <v>726</v>
      </c>
      <c r="E178" s="1111" t="str">
        <f t="shared" si="49"/>
        <v>PRFctr =</v>
      </c>
      <c r="F178" s="209">
        <f>F72</f>
        <v>0.13472193585307479</v>
      </c>
      <c r="G178" s="1120" t="s">
        <v>3</v>
      </c>
      <c r="H178" s="194">
        <f>H72</f>
        <v>4.1063246048017197</v>
      </c>
      <c r="I178" s="1120" t="str">
        <f>I72</f>
        <v>meters from center</v>
      </c>
      <c r="J178" s="1118"/>
    </row>
    <row r="179" spans="1:11" ht="13.5" thickBot="1" x14ac:dyDescent="0.35">
      <c r="B179" s="1113" t="str">
        <f>B73</f>
        <v>angle =</v>
      </c>
      <c r="C179" s="202">
        <f>C73</f>
        <v>4.2538685783306756</v>
      </c>
      <c r="D179" s="1140" t="str">
        <f>D73</f>
        <v>degrees</v>
      </c>
      <c r="E179" s="1141" t="str">
        <f t="shared" si="49"/>
        <v>PRFface =</v>
      </c>
      <c r="F179" s="210">
        <f>F73</f>
        <v>0.12972193585307479</v>
      </c>
      <c r="G179" s="1123" t="s">
        <v>3</v>
      </c>
      <c r="H179" s="208">
        <f>H73</f>
        <v>3.9539246048017196</v>
      </c>
      <c r="I179" s="1123" t="str">
        <f>I73</f>
        <v>meters from face</v>
      </c>
      <c r="J179" s="1124"/>
      <c r="K179" s="20"/>
    </row>
    <row r="180" spans="1:11" x14ac:dyDescent="0.25">
      <c r="B180" s="1099" t="str">
        <f>K71</f>
        <v xml:space="preserve"> x*y etc G </v>
      </c>
    </row>
    <row r="181" spans="1:11" ht="13" thickBot="1" x14ac:dyDescent="0.3"/>
    <row r="182" spans="1:11" ht="13" x14ac:dyDescent="0.3">
      <c r="A182" s="449">
        <f>A76</f>
        <v>7</v>
      </c>
      <c r="B182" s="311" t="str">
        <f>B76</f>
        <v xml:space="preserve">ROUGH Calculation if CV *BAR not available, but you have (SE% overall) </v>
      </c>
      <c r="C182" s="240"/>
      <c r="D182" s="240"/>
      <c r="E182" s="240"/>
      <c r="F182" s="240"/>
      <c r="G182" s="240"/>
      <c r="H182" s="312"/>
    </row>
    <row r="183" spans="1:11" ht="13.5" thickBot="1" x14ac:dyDescent="0.35">
      <c r="B183" s="317" t="s">
        <v>3</v>
      </c>
      <c r="C183" s="28"/>
      <c r="D183" s="28"/>
      <c r="E183" s="28"/>
      <c r="F183" s="28"/>
      <c r="G183" s="28" t="str">
        <f>G77</f>
        <v>(Implied)</v>
      </c>
      <c r="H183" s="313"/>
    </row>
    <row r="184" spans="1:11" ht="14.25" customHeight="1" thickBot="1" x14ac:dyDescent="0.35">
      <c r="B184" s="377" t="str">
        <f t="shared" ref="B184:G185" si="51">B78</f>
        <v>SE%,BA =</v>
      </c>
      <c r="C184" s="1142">
        <f t="shared" si="51"/>
        <v>7.8E-2</v>
      </c>
      <c r="D184" s="241" t="str">
        <f t="shared" si="51"/>
        <v>#  points</v>
      </c>
      <c r="E184" s="1096">
        <f t="shared" si="51"/>
        <v>30</v>
      </c>
      <c r="F184" s="241" t="str">
        <f t="shared" si="51"/>
        <v xml:space="preserve"> CV, BA</v>
      </c>
      <c r="G184" s="380">
        <f t="shared" si="51"/>
        <v>0.42722359485402955</v>
      </c>
      <c r="H184" s="313" t="s">
        <v>81</v>
      </c>
    </row>
    <row r="185" spans="1:11" ht="13.5" thickBot="1" x14ac:dyDescent="0.35">
      <c r="B185" s="377" t="str">
        <f t="shared" si="51"/>
        <v>SE%,*BAR =</v>
      </c>
      <c r="C185" s="381">
        <f t="shared" si="51"/>
        <v>2.5298221281347049E-2</v>
      </c>
      <c r="D185" s="241" t="str">
        <f t="shared" si="51"/>
        <v># *BARs</v>
      </c>
      <c r="E185" s="1096">
        <f t="shared" si="51"/>
        <v>120</v>
      </c>
      <c r="F185" s="237" t="str">
        <f t="shared" si="51"/>
        <v>CV, *BAR</v>
      </c>
      <c r="G185" s="379">
        <f t="shared" si="51"/>
        <v>0.27712812921102054</v>
      </c>
      <c r="H185" s="313" t="s">
        <v>81</v>
      </c>
    </row>
    <row r="186" spans="1:11" ht="13" thickBot="1" x14ac:dyDescent="0.3">
      <c r="B186" s="378" t="str">
        <f>B80</f>
        <v>SE%,Total =</v>
      </c>
      <c r="C186" s="384">
        <f>C80</f>
        <v>8.2000000000000003E-2</v>
      </c>
      <c r="D186" s="315"/>
      <c r="E186" s="315"/>
      <c r="F186" s="315"/>
      <c r="G186" s="315"/>
      <c r="H186" s="314"/>
    </row>
    <row r="187" spans="1:11" ht="13" thickBot="1" x14ac:dyDescent="0.3"/>
    <row r="188" spans="1:11" ht="14" thickTop="1" thickBot="1" x14ac:dyDescent="0.35">
      <c r="A188" s="449">
        <f>A82</f>
        <v>8</v>
      </c>
      <c r="B188" s="1143" t="str">
        <f>B82</f>
        <v>*** Optimum Calculation of TC vs. *BAR plots Using your test number ratio from section 2</v>
      </c>
      <c r="C188" s="1144"/>
      <c r="D188" s="1144"/>
      <c r="E188" s="1144"/>
      <c r="F188" s="1144"/>
      <c r="G188" s="1144"/>
      <c r="H188" s="1144"/>
      <c r="I188" s="1145"/>
    </row>
    <row r="189" spans="1:11" ht="13" thickTop="1" x14ac:dyDescent="0.25">
      <c r="B189" s="1072"/>
      <c r="C189" s="240" t="str">
        <f>C83</f>
        <v>Variability</v>
      </c>
      <c r="D189" s="240"/>
      <c r="E189" s="240" t="str">
        <f>E83</f>
        <v xml:space="preserve">   Measurement Costs</v>
      </c>
      <c r="F189" s="240"/>
      <c r="G189" s="240"/>
      <c r="H189" s="240" t="str">
        <f>H83</f>
        <v xml:space="preserve">  Fixed costs:</v>
      </c>
      <c r="I189" s="312"/>
    </row>
    <row r="190" spans="1:11" ht="13" x14ac:dyDescent="0.3">
      <c r="B190" s="376" t="str">
        <f>B84</f>
        <v xml:space="preserve">  CV(TC) =</v>
      </c>
      <c r="C190" s="1146">
        <f>C84</f>
        <v>0.3</v>
      </c>
      <c r="D190" s="28" t="s">
        <v>3</v>
      </c>
      <c r="E190" s="1147">
        <f>E84</f>
        <v>6</v>
      </c>
      <c r="F190" s="28" t="str">
        <f>F84</f>
        <v xml:space="preserve">= Cost (TC) </v>
      </c>
      <c r="G190" s="28"/>
      <c r="H190" s="1148">
        <f>H84</f>
        <v>0</v>
      </c>
      <c r="I190" s="1149" t="str">
        <f>I84</f>
        <v>cost #1, perhaps travel to plot</v>
      </c>
    </row>
    <row r="191" spans="1:11" ht="13" x14ac:dyDescent="0.3">
      <c r="B191" s="376"/>
      <c r="C191" s="28"/>
      <c r="D191" s="28"/>
      <c r="E191" s="28" t="s">
        <v>3</v>
      </c>
      <c r="F191" s="28"/>
      <c r="G191" s="28"/>
      <c r="H191" s="1148">
        <f>H85</f>
        <v>0</v>
      </c>
      <c r="I191" s="1149" t="str">
        <f>I85</f>
        <v>cost #2, other costs PER plot</v>
      </c>
    </row>
    <row r="192" spans="1:11" ht="13.5" thickBot="1" x14ac:dyDescent="0.35">
      <c r="A192" s="5"/>
      <c r="B192" s="387" t="str">
        <f>B86</f>
        <v xml:space="preserve">  CV(*BAR) =</v>
      </c>
      <c r="C192" s="1146">
        <f>C86</f>
        <v>0.187</v>
      </c>
      <c r="D192" s="28" t="s">
        <v>3</v>
      </c>
      <c r="E192" s="1147">
        <f>E86</f>
        <v>2</v>
      </c>
      <c r="F192" s="28" t="str">
        <f>F86</f>
        <v xml:space="preserve">= Cost (*BAR) </v>
      </c>
      <c r="G192" s="28"/>
      <c r="H192" s="1150">
        <f>H86</f>
        <v>0</v>
      </c>
      <c r="I192" s="1149" t="str">
        <f>I86</f>
        <v>cost #3</v>
      </c>
    </row>
    <row r="193" spans="1:9" ht="13" thickTop="1" x14ac:dyDescent="0.25">
      <c r="A193" s="5"/>
      <c r="B193" s="224" t="s">
        <v>3</v>
      </c>
      <c r="C193" s="28" t="s">
        <v>3</v>
      </c>
      <c r="D193" s="28" t="s">
        <v>3</v>
      </c>
      <c r="E193" s="28" t="s">
        <v>3</v>
      </c>
      <c r="F193" s="330" t="s">
        <v>3</v>
      </c>
      <c r="G193" s="28" t="s">
        <v>3</v>
      </c>
      <c r="H193" s="331">
        <f>H87</f>
        <v>0</v>
      </c>
      <c r="I193" s="332" t="str">
        <f>I87</f>
        <v>= total</v>
      </c>
    </row>
    <row r="194" spans="1:9" ht="13" x14ac:dyDescent="0.3">
      <c r="A194" s="5"/>
      <c r="B194" s="224"/>
      <c r="C194" s="28"/>
      <c r="D194" s="238" t="str">
        <f>D88</f>
        <v xml:space="preserve">     Ratio for your CHOICE ==&gt;</v>
      </c>
      <c r="E194" s="396">
        <f>E88</f>
        <v>0.4</v>
      </c>
      <c r="F194" s="28" t="str">
        <f>F88</f>
        <v>TC per *BAR</v>
      </c>
      <c r="G194" s="28"/>
      <c r="H194" s="28"/>
      <c r="I194" s="313"/>
    </row>
    <row r="195" spans="1:9" ht="13" x14ac:dyDescent="0.3">
      <c r="A195" s="5"/>
      <c r="B195" s="224"/>
      <c r="C195" s="28"/>
      <c r="D195" s="28"/>
      <c r="E195" s="333"/>
      <c r="G195" s="241" t="str">
        <f>G89</f>
        <v>using entered number TC =</v>
      </c>
      <c r="H195" s="426">
        <f>H89</f>
        <v>40</v>
      </c>
      <c r="I195" s="313"/>
    </row>
    <row r="196" spans="1:9" ht="13" x14ac:dyDescent="0.3">
      <c r="A196" s="5"/>
      <c r="B196" s="231" t="str">
        <f>B90</f>
        <v xml:space="preserve">  Desired SEc% (Total)==&gt;</v>
      </c>
      <c r="C196" s="28"/>
      <c r="D196" s="1151">
        <f>D90</f>
        <v>0.06</v>
      </c>
      <c r="E196" s="28" t="s">
        <v>3</v>
      </c>
      <c r="F196" s="28"/>
      <c r="G196" s="241" t="str">
        <f>G90</f>
        <v>*BAR =</v>
      </c>
      <c r="H196" s="426">
        <f>H90</f>
        <v>100</v>
      </c>
      <c r="I196" s="313"/>
    </row>
    <row r="197" spans="1:9" x14ac:dyDescent="0.25">
      <c r="A197" s="5"/>
      <c r="B197" s="224" t="s">
        <v>3</v>
      </c>
      <c r="C197" s="28"/>
      <c r="D197" s="28"/>
      <c r="E197" s="28"/>
      <c r="F197" s="28"/>
      <c r="G197" s="28"/>
      <c r="H197" s="28"/>
      <c r="I197" s="313"/>
    </row>
    <row r="198" spans="1:9" ht="13" x14ac:dyDescent="0.3">
      <c r="A198" s="5"/>
      <c r="B198" s="225" t="str">
        <f t="shared" ref="B198:G198" si="52">B92</f>
        <v>n points</v>
      </c>
      <c r="C198" s="426">
        <f t="shared" si="52"/>
        <v>28.885444444444445</v>
      </c>
      <c r="D198" s="236" t="str">
        <f t="shared" si="52"/>
        <v>SE%(TC)</v>
      </c>
      <c r="E198" s="329">
        <f t="shared" si="52"/>
        <v>5.5818958333009691E-2</v>
      </c>
      <c r="F198" s="241" t="str">
        <f t="shared" si="52"/>
        <v>Total $</v>
      </c>
      <c r="G198" s="396">
        <f t="shared" si="52"/>
        <v>317.73988888888891</v>
      </c>
      <c r="H198" s="241"/>
      <c r="I198" s="334"/>
    </row>
    <row r="199" spans="1:9" ht="13.5" thickBot="1" x14ac:dyDescent="0.35">
      <c r="A199" s="5"/>
      <c r="B199" s="225" t="str">
        <f>B93</f>
        <v>n (*BAR)</v>
      </c>
      <c r="C199" s="426">
        <f>C93</f>
        <v>72.213611111111106</v>
      </c>
      <c r="D199" s="236" t="str">
        <f>D93</f>
        <v>SE%(*BAR)</v>
      </c>
      <c r="E199" s="395">
        <f>E93</f>
        <v>2.2005542270476488E-2</v>
      </c>
      <c r="F199" s="28"/>
      <c r="G199" s="28"/>
      <c r="H199" s="392"/>
      <c r="I199" s="393"/>
    </row>
    <row r="200" spans="1:9" ht="13.5" thickTop="1" thickBot="1" x14ac:dyDescent="0.3">
      <c r="A200" s="5"/>
      <c r="B200" s="316"/>
      <c r="C200" s="315"/>
      <c r="D200" s="394" t="str">
        <f>D94</f>
        <v>SE% Total</v>
      </c>
      <c r="E200" s="383">
        <f>E94</f>
        <v>0.06</v>
      </c>
      <c r="F200" s="315"/>
      <c r="G200" s="315"/>
      <c r="H200" s="315"/>
      <c r="I200" s="314"/>
    </row>
    <row r="202" spans="1:9" ht="13" x14ac:dyDescent="0.3">
      <c r="A202" s="449">
        <f>A96</f>
        <v>9</v>
      </c>
      <c r="B202" s="409" t="str">
        <f>B96</f>
        <v xml:space="preserve">    If you need to combine prisms,</v>
      </c>
      <c r="C202" s="410"/>
      <c r="D202" s="411"/>
      <c r="E202" s="412" t="str">
        <f>E96</f>
        <v>BAF #1</v>
      </c>
      <c r="F202" s="424">
        <f>F96</f>
        <v>20</v>
      </c>
      <c r="G202" s="411"/>
      <c r="H202" s="411" t="s">
        <v>3</v>
      </c>
      <c r="I202" s="413"/>
    </row>
    <row r="203" spans="1:9" ht="13" x14ac:dyDescent="0.3">
      <c r="B203" s="414" t="str">
        <f>B97</f>
        <v xml:space="preserve">    this is the resulting BAF</v>
      </c>
      <c r="C203" s="415"/>
      <c r="D203" s="416"/>
      <c r="E203" s="417" t="str">
        <f>E97</f>
        <v>BAF #2</v>
      </c>
      <c r="F203" s="425">
        <f>F97</f>
        <v>30</v>
      </c>
      <c r="G203" s="416"/>
      <c r="H203" s="417" t="str">
        <f>H97</f>
        <v>Combined BAF =</v>
      </c>
      <c r="I203" s="423">
        <f>I97</f>
        <v>98.98979485566359</v>
      </c>
    </row>
  </sheetData>
  <sheetProtection algorithmName="SHA-512" hashValue="fC33LAqbtaAmRkftiTzptDEUQFIuyPNebZ9F0FtahcxZi44+ZVax8BHnfU2yltyaarPL7kCHa51Oogu3w95rYw==" saltValue="sUVA2/MJ7dWWPG59UjZeoQ==" spinCount="100000" sheet="1" objects="1" scenarios="1" formatCells="0"/>
  <pageMargins left="0.7" right="0.7" top="0.75" bottom="0.75" header="0.3" footer="0.3"/>
  <pageSetup orientation="portrait" horizontalDpi="0" verticalDpi="0" r:id="rId1"/>
  <drawing r:id="rId2"/>
  <legacyDrawing r:id="rId3"/>
  <oleObjects>
    <mc:AlternateContent xmlns:mc="http://schemas.openxmlformats.org/markup-compatibility/2006">
      <mc:Choice Requires="x14">
        <oleObject progId="Document" dvAspect="DVASPECT_ICON" shapeId="96040" r:id="rId4">
          <objectPr locked="0" defaultSize="0" autoPict="0" r:id="rId5">
            <anchor moveWithCells="1">
              <from>
                <xdr:col>11</xdr:col>
                <xdr:colOff>425450</xdr:colOff>
                <xdr:row>5</xdr:row>
                <xdr:rowOff>158750</xdr:rowOff>
              </from>
              <to>
                <xdr:col>13</xdr:col>
                <xdr:colOff>38100</xdr:colOff>
                <xdr:row>10</xdr:row>
                <xdr:rowOff>44450</xdr:rowOff>
              </to>
            </anchor>
          </objectPr>
        </oleObject>
      </mc:Choice>
      <mc:Fallback>
        <oleObject progId="Document" dvAspect="DVASPECT_ICON" shapeId="9604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Data Entry</vt:lpstr>
      <vt:lpstr>Graphs</vt:lpstr>
      <vt:lpstr>extra copy</vt:lpstr>
      <vt:lpstr>Old copy on CD</vt:lpstr>
      <vt:lpstr>'Data Entry'!Print_Area</vt:lpstr>
    </vt:vector>
  </TitlesOfParts>
  <Company>Kim Iles &amp;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Iles &amp; Associates</dc:creator>
  <cp:lastModifiedBy>Kim Iles </cp:lastModifiedBy>
  <cp:lastPrinted>2023-08-03T22:32:39Z</cp:lastPrinted>
  <dcterms:created xsi:type="dcterms:W3CDTF">1998-12-28T02:08:12Z</dcterms:created>
  <dcterms:modified xsi:type="dcterms:W3CDTF">2023-08-11T23:12:08Z</dcterms:modified>
</cp:coreProperties>
</file>